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536" windowHeight="9468" tabRatio="445" activeTab="0"/>
  </bookViews>
  <sheets>
    <sheet name="Typogramm" sheetId="1" r:id="rId1"/>
    <sheet name="GRAFICO % CARICO" sheetId="2" r:id="rId2"/>
    <sheet name="GRAFICO TENSIONI" sheetId="3" r:id="rId3"/>
    <sheet name="Feuil1" sheetId="4" r:id="rId4"/>
  </sheets>
  <definedNames>
    <definedName name="M">'Typogramm'!#REF!</definedName>
    <definedName name="mod">'Typogramm'!$Q$6</definedName>
  </definedNames>
  <calcPr fullCalcOnLoad="1"/>
</workbook>
</file>

<file path=xl/sharedStrings.xml><?xml version="1.0" encoding="utf-8"?>
<sst xmlns="http://schemas.openxmlformats.org/spreadsheetml/2006/main" count="266" uniqueCount="139">
  <si>
    <t xml:space="preserve">                                             </t>
  </si>
  <si>
    <t>N°</t>
  </si>
  <si>
    <t xml:space="preserve">    Type O</t>
  </si>
  <si>
    <t xml:space="preserve">        Type I</t>
  </si>
  <si>
    <t xml:space="preserve">    Type II</t>
  </si>
  <si>
    <t>résist.</t>
  </si>
  <si>
    <t>diam 0</t>
  </si>
  <si>
    <t>diam I</t>
  </si>
  <si>
    <t>diam II</t>
  </si>
  <si>
    <t>diam.M</t>
  </si>
  <si>
    <t>Laiton</t>
  </si>
  <si>
    <t>Fer</t>
  </si>
  <si>
    <t>M</t>
  </si>
  <si>
    <t xml:space="preserve">                  Type M</t>
  </si>
  <si>
    <t>Cuivre</t>
  </si>
  <si>
    <t xml:space="preserve"> </t>
  </si>
  <si>
    <t xml:space="preserve">                  Type XM</t>
  </si>
  <si>
    <t>diam.XM</t>
  </si>
  <si>
    <t>XM</t>
  </si>
  <si>
    <t>Umspinnung (mm)</t>
  </si>
  <si>
    <t>Spannung/Chor</t>
  </si>
  <si>
    <t xml:space="preserve">  </t>
  </si>
  <si>
    <t>Nota</t>
  </si>
  <si>
    <t>Filo acciaio         (mm)</t>
  </si>
  <si>
    <t>Diametro totale            (mm)</t>
  </si>
  <si>
    <t>Tensione Newton</t>
  </si>
  <si>
    <t>nr. Corde         per coro</t>
  </si>
  <si>
    <t>Tipo di acciaio</t>
  </si>
  <si>
    <t>Percentuale di carico             %</t>
  </si>
  <si>
    <t>Materiale filatura</t>
  </si>
  <si>
    <r>
      <rPr>
        <b/>
        <sz val="14"/>
        <color indexed="57"/>
        <rFont val="Calibri"/>
        <family val="2"/>
      </rPr>
      <t xml:space="preserve">Diapason </t>
    </r>
    <r>
      <rPr>
        <sz val="12"/>
        <rFont val="Calibri"/>
        <family val="2"/>
      </rPr>
      <t xml:space="preserve">  La49 (La4) =</t>
    </r>
  </si>
  <si>
    <t>La1 (La0)</t>
  </si>
  <si>
    <t>Sol#-1 (Sol#0)</t>
  </si>
  <si>
    <t>Sol-2 (Sol0)</t>
  </si>
  <si>
    <t>Fa#-3 (Fa#0)</t>
  </si>
  <si>
    <t>Fa-4 (Fa0)</t>
  </si>
  <si>
    <t>Mi-5 (Mi0)</t>
  </si>
  <si>
    <t>Re#-6 (Re#0)</t>
  </si>
  <si>
    <t>Do-7 (Do0)</t>
  </si>
  <si>
    <t>Do#-8 (Do#0)</t>
  </si>
  <si>
    <t>Do-9 (Do0)</t>
  </si>
  <si>
    <t>Sib2 (Sib0)</t>
  </si>
  <si>
    <t>Si3 (Si0)</t>
  </si>
  <si>
    <t>Do4 (Do1)</t>
  </si>
  <si>
    <t>Do#5 (Do#1)</t>
  </si>
  <si>
    <t>Re6 (Re1)</t>
  </si>
  <si>
    <t>Re#7 (Re#1)</t>
  </si>
  <si>
    <t>Mi8 (Mi1)</t>
  </si>
  <si>
    <t>Fa9 (Fa1)</t>
  </si>
  <si>
    <t>Fa#10 (Fa#1)</t>
  </si>
  <si>
    <t>Sol11 (Sol1)</t>
  </si>
  <si>
    <t>Sol#12 (Sol#1)</t>
  </si>
  <si>
    <t>La13 (La1)</t>
  </si>
  <si>
    <t>Sib14 (Sib1)</t>
  </si>
  <si>
    <t>Si15 (Si1)</t>
  </si>
  <si>
    <t>Do16 (Do2)</t>
  </si>
  <si>
    <t>Do#17 (Do#2)</t>
  </si>
  <si>
    <t>Re18 (Re2)</t>
  </si>
  <si>
    <t>Re#19 (Re#2)</t>
  </si>
  <si>
    <t>Mi20 (Mi2)</t>
  </si>
  <si>
    <t>Fa21 (Fa2)</t>
  </si>
  <si>
    <t>Fa#22 (Fa#2)</t>
  </si>
  <si>
    <t>Sol23 (Sol2)</t>
  </si>
  <si>
    <t>Sol#24 (Sol#2)</t>
  </si>
  <si>
    <t>La25 (La2)</t>
  </si>
  <si>
    <t>Sib26 (Sib2)</t>
  </si>
  <si>
    <t>Si27 (Si2)</t>
  </si>
  <si>
    <t>Do28 (Do3)</t>
  </si>
  <si>
    <t>Do#29 (Do#3)</t>
  </si>
  <si>
    <t>Re30 (Re3)</t>
  </si>
  <si>
    <t>Re#31 (Re#3)</t>
  </si>
  <si>
    <t>Mi32 (Mi3)</t>
  </si>
  <si>
    <t>Fa33 (Fa3)</t>
  </si>
  <si>
    <t>Fa#34 (Fa#23)</t>
  </si>
  <si>
    <t>Sol35 (Sol3)</t>
  </si>
  <si>
    <t>Sol#36 (Sol#3)</t>
  </si>
  <si>
    <t>La37 (La3)</t>
  </si>
  <si>
    <t>Sib38 (Sib3)</t>
  </si>
  <si>
    <t>Si39 (Si3)</t>
  </si>
  <si>
    <t>Do40 (Do4)</t>
  </si>
  <si>
    <t>Do#41 (Do#4)</t>
  </si>
  <si>
    <t>Re42 (Re4)</t>
  </si>
  <si>
    <t>Re#43 (Re#4)</t>
  </si>
  <si>
    <t>Mi44 (Mi4)</t>
  </si>
  <si>
    <t>Fa45 (Fa4)</t>
  </si>
  <si>
    <t>Fa#46 (Fa#4)</t>
  </si>
  <si>
    <t>Sol47 (Sol4)</t>
  </si>
  <si>
    <t>Sol#48 (Sol#4)</t>
  </si>
  <si>
    <t>La49 (La4)</t>
  </si>
  <si>
    <t>Sib50 (Sib4)</t>
  </si>
  <si>
    <t>Si51 (Si4)</t>
  </si>
  <si>
    <t>Do52 (Do5)</t>
  </si>
  <si>
    <t>Do#53 (Do#5)</t>
  </si>
  <si>
    <t>Re54 (Re5)</t>
  </si>
  <si>
    <t>Re#55 (Re#5)</t>
  </si>
  <si>
    <t>Mi56 (Mi5)</t>
  </si>
  <si>
    <t>Fa57 (Fa5)</t>
  </si>
  <si>
    <t>Fa#58 (Fa#5)</t>
  </si>
  <si>
    <t>Sol59 (Sol5)</t>
  </si>
  <si>
    <t>Sol#60 (Sol#5)</t>
  </si>
  <si>
    <t>La61 (La5)</t>
  </si>
  <si>
    <t>Sib62 (Sib5)</t>
  </si>
  <si>
    <t>Si63 (Si5)</t>
  </si>
  <si>
    <t>Re66 (Re6)</t>
  </si>
  <si>
    <t>Mi68 (Mi6)</t>
  </si>
  <si>
    <t>Fa69 (Fa9)</t>
  </si>
  <si>
    <t>Sol71 (Sol6)</t>
  </si>
  <si>
    <t>Sol#72 (Sol#6)</t>
  </si>
  <si>
    <t>La73 (La6)</t>
  </si>
  <si>
    <t>Sib74 (Sib6)</t>
  </si>
  <si>
    <t>Si75 (Si6)</t>
  </si>
  <si>
    <t>Do76 (Do7)</t>
  </si>
  <si>
    <t>Re78 (Re7)</t>
  </si>
  <si>
    <t>Re#79 (Re#7)</t>
  </si>
  <si>
    <t>Mi80 (Mi7)</t>
  </si>
  <si>
    <t>Fa81 (Fa7)</t>
  </si>
  <si>
    <t>Sol83 (Sol7)</t>
  </si>
  <si>
    <t>Sol#84 (Sol#7)</t>
  </si>
  <si>
    <t>Re#67 (Re#6)</t>
  </si>
  <si>
    <t>Do64 (Do6)</t>
  </si>
  <si>
    <t>Fa#82 (Fa#7)</t>
  </si>
  <si>
    <t>Fa#70 (Fa#6)</t>
  </si>
  <si>
    <t>L85 (La7)</t>
  </si>
  <si>
    <t>Sib86 (Sib7)</t>
  </si>
  <si>
    <t>Si87 (Si7)</t>
  </si>
  <si>
    <t>Do88 (Do8)</t>
  </si>
  <si>
    <t>Do#89 (Do#8)</t>
  </si>
  <si>
    <t>Re90 (Re8)</t>
  </si>
  <si>
    <t>Re#91 (Re#8)</t>
  </si>
  <si>
    <t>Mi92 (Mi8)</t>
  </si>
  <si>
    <t>Fa93 (Fa8)</t>
  </si>
  <si>
    <t>Do#77 (Do#7)</t>
  </si>
  <si>
    <t>Do#65 (Do#6)</t>
  </si>
  <si>
    <t>Lunghezza cantante        (mm)</t>
  </si>
  <si>
    <t>Rame</t>
  </si>
  <si>
    <t>Marca :</t>
  </si>
  <si>
    <t>Modello :</t>
  </si>
  <si>
    <t xml:space="preserve">n°: </t>
  </si>
  <si>
    <t>Anno costruzione 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</si>
</sst>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[$-40C]dddd\ d\ mmmm\ yyyy"/>
    <numFmt numFmtId="177" formatCode="&quot;Vrai&quot;;&quot;Vrai&quot;;&quot;Faux&quot;"/>
    <numFmt numFmtId="178" formatCode="&quot;Actif&quot;;&quot;Actif&quot;;&quot;Inactif&quot;"/>
    <numFmt numFmtId="179" formatCode="0.0"/>
    <numFmt numFmtId="180" formatCode="0.0000000"/>
    <numFmt numFmtId="181" formatCode="_-* #,##0&quot; €&quot;_-;\-* #,##0&quot; €&quot;_-;_-* &quot;-&quot;&quot; €&quot;_-;_-@_-"/>
    <numFmt numFmtId="182" formatCode="_-* #,##0_ _€_-;\-* #,##0_ _€_-;_-* &quot;-&quot;_ _€_-;_-@_-"/>
    <numFmt numFmtId="183" formatCode="_-* #,##0.00&quot; €&quot;_-;\-* #,##0.00&quot; €&quot;_-;_-* &quot;-&quot;??&quot; €&quot;_-;_-@_-"/>
    <numFmt numFmtId="184" formatCode="_-* #,##0.00_ _€_-;\-* #,##0.00_ _€_-;_-* &quot;-&quot;??_ _€_-;_-@_-"/>
    <numFmt numFmtId="185" formatCode="[$€-2]\ #,##0.00_);[Red]\([$€-2]\ #,##0.00\)"/>
    <numFmt numFmtId="186" formatCode="00000"/>
  </numFmts>
  <fonts count="98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4"/>
      <name val="Garamond"/>
      <family val="1"/>
    </font>
    <font>
      <b/>
      <u val="single"/>
      <sz val="18"/>
      <name val="Garamond"/>
      <family val="1"/>
    </font>
    <font>
      <b/>
      <u val="single"/>
      <sz val="14"/>
      <name val="Garamond"/>
      <family val="1"/>
    </font>
    <font>
      <b/>
      <sz val="14"/>
      <name val="Garamond"/>
      <family val="1"/>
    </font>
    <font>
      <sz val="10"/>
      <name val="Arial Unicode MS"/>
      <family val="2"/>
    </font>
    <font>
      <sz val="12"/>
      <name val="Times New Roman"/>
      <family val="1"/>
    </font>
    <font>
      <sz val="12"/>
      <name val="Calibri"/>
      <family val="2"/>
    </font>
    <font>
      <b/>
      <sz val="14"/>
      <color indexed="57"/>
      <name val="Calibri"/>
      <family val="2"/>
    </font>
    <font>
      <sz val="20"/>
      <name val="Calibri"/>
      <family val="2"/>
    </font>
    <font>
      <sz val="10"/>
      <name val="MS Sans Serif"/>
      <family val="2"/>
    </font>
    <font>
      <sz val="12"/>
      <name val="Garamond"/>
      <family val="1"/>
    </font>
    <font>
      <sz val="10"/>
      <color indexed="9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2"/>
      <color indexed="43"/>
      <name val="Garamond"/>
      <family val="1"/>
    </font>
    <font>
      <b/>
      <sz val="12"/>
      <color indexed="43"/>
      <name val="Garamond"/>
      <family val="1"/>
    </font>
    <font>
      <b/>
      <sz val="12"/>
      <color indexed="60"/>
      <name val="Arial"/>
      <family val="2"/>
    </font>
    <font>
      <b/>
      <sz val="12"/>
      <color indexed="57"/>
      <name val="Arial"/>
      <family val="2"/>
    </font>
    <font>
      <b/>
      <sz val="12"/>
      <color indexed="19"/>
      <name val="Arial"/>
      <family val="2"/>
    </font>
    <font>
      <sz val="8"/>
      <color indexed="63"/>
      <name val="Arial"/>
      <family val="2"/>
    </font>
    <font>
      <sz val="12"/>
      <color indexed="63"/>
      <name val="Garamond"/>
      <family val="1"/>
    </font>
    <font>
      <b/>
      <sz val="12"/>
      <name val="Calibri"/>
      <family val="2"/>
    </font>
    <font>
      <sz val="13"/>
      <color indexed="63"/>
      <name val="Calibri"/>
      <family val="2"/>
    </font>
    <font>
      <b/>
      <i/>
      <u val="single"/>
      <sz val="11"/>
      <color indexed="63"/>
      <name val="Calibri"/>
      <family val="2"/>
    </font>
    <font>
      <b/>
      <sz val="14"/>
      <color indexed="43"/>
      <name val="Garamond"/>
      <family val="1"/>
    </font>
    <font>
      <b/>
      <sz val="14"/>
      <color indexed="63"/>
      <name val="Garamond"/>
      <family val="1"/>
    </font>
    <font>
      <b/>
      <sz val="12"/>
      <color indexed="62"/>
      <name val="Arial"/>
      <family val="2"/>
    </font>
    <font>
      <sz val="14"/>
      <color indexed="63"/>
      <name val="Calibri"/>
      <family val="2"/>
    </font>
    <font>
      <b/>
      <sz val="28"/>
      <color indexed="57"/>
      <name val="Calibri"/>
      <family val="2"/>
    </font>
    <font>
      <sz val="28"/>
      <color indexed="57"/>
      <name val="Calibri"/>
      <family val="2"/>
    </font>
    <font>
      <sz val="10"/>
      <color indexed="63"/>
      <name val="Calibri"/>
      <family val="2"/>
    </font>
    <font>
      <u val="single"/>
      <sz val="18"/>
      <color indexed="63"/>
      <name val="Calibri"/>
      <family val="2"/>
    </font>
    <font>
      <sz val="18"/>
      <color indexed="63"/>
      <name val="Calibri"/>
      <family val="2"/>
    </font>
    <font>
      <b/>
      <sz val="13"/>
      <color indexed="63"/>
      <name val="Calibri"/>
      <family val="2"/>
    </font>
    <font>
      <b/>
      <sz val="13"/>
      <color indexed="60"/>
      <name val="Calibri"/>
      <family val="2"/>
    </font>
    <font>
      <b/>
      <i/>
      <sz val="13"/>
      <color indexed="63"/>
      <name val="Calibri"/>
      <family val="2"/>
    </font>
    <font>
      <b/>
      <i/>
      <sz val="13"/>
      <color indexed="60"/>
      <name val="Calibri"/>
      <family val="2"/>
    </font>
    <font>
      <b/>
      <i/>
      <u val="single"/>
      <sz val="13"/>
      <color indexed="63"/>
      <name val="Calibri"/>
      <family val="2"/>
    </font>
    <font>
      <u val="single"/>
      <sz val="13"/>
      <color indexed="63"/>
      <name val="Calibri"/>
      <family val="2"/>
    </font>
    <font>
      <i/>
      <u val="single"/>
      <sz val="13"/>
      <color indexed="63"/>
      <name val="Calibri"/>
      <family val="2"/>
    </font>
    <font>
      <vertAlign val="subscript"/>
      <sz val="13"/>
      <color indexed="63"/>
      <name val="Calibri"/>
      <family val="2"/>
    </font>
    <font>
      <sz val="13"/>
      <color indexed="57"/>
      <name val="Calibri"/>
      <family val="2"/>
    </font>
    <font>
      <b/>
      <i/>
      <sz val="13"/>
      <color indexed="57"/>
      <name val="Calibri"/>
      <family val="2"/>
    </font>
    <font>
      <sz val="13"/>
      <color indexed="60"/>
      <name val="Calibri"/>
      <family val="2"/>
    </font>
    <font>
      <b/>
      <sz val="13"/>
      <color indexed="57"/>
      <name val="Calibri"/>
      <family val="2"/>
    </font>
    <font>
      <b/>
      <sz val="10.5"/>
      <color indexed="57"/>
      <name val="Calibri"/>
      <family val="2"/>
    </font>
    <font>
      <sz val="10.5"/>
      <color indexed="57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2"/>
      <color theme="2" tint="-0.09996999800205231"/>
      <name val="Garamond"/>
      <family val="1"/>
    </font>
    <font>
      <b/>
      <sz val="12"/>
      <color theme="2" tint="-0.09996999800205231"/>
      <name val="Garamond"/>
      <family val="1"/>
    </font>
    <font>
      <b/>
      <sz val="12"/>
      <color rgb="FFC00000"/>
      <name val="Arial"/>
      <family val="2"/>
    </font>
    <font>
      <b/>
      <sz val="12"/>
      <color theme="8" tint="-0.4999699890613556"/>
      <name val="Arial"/>
      <family val="2"/>
    </font>
    <font>
      <b/>
      <sz val="12"/>
      <color rgb="FF808000"/>
      <name val="Arial"/>
      <family val="2"/>
    </font>
    <font>
      <sz val="12"/>
      <color rgb="FF000000"/>
      <name val="Garamond"/>
      <family val="1"/>
    </font>
    <font>
      <b/>
      <sz val="14"/>
      <color theme="2" tint="-0.09996999800205231"/>
      <name val="Garamond"/>
      <family val="1"/>
    </font>
    <font>
      <b/>
      <sz val="14"/>
      <color rgb="FF000000"/>
      <name val="Garamond"/>
      <family val="1"/>
    </font>
    <font>
      <b/>
      <sz val="12"/>
      <color rgb="FF7030A0"/>
      <name val="Arial"/>
      <family val="2"/>
    </font>
    <font>
      <sz val="8"/>
      <color theme="1"/>
      <name val="Arial"/>
      <family val="2"/>
    </font>
    <font>
      <sz val="14"/>
      <color rgb="FF000000"/>
      <name val="Calibri"/>
      <family val="2"/>
    </font>
    <font>
      <sz val="13"/>
      <color rgb="FF000000"/>
      <name val="Calibri"/>
      <family val="2"/>
    </font>
    <font>
      <b/>
      <i/>
      <u val="single"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C3C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2CCAE"/>
        <bgColor indexed="64"/>
      </patternFill>
    </fill>
    <fill>
      <patternFill patternType="solid">
        <fgColor rgb="FF67A7A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AB3B4"/>
        <bgColor indexed="64"/>
      </patternFill>
    </fill>
    <fill>
      <patternFill patternType="solid">
        <fgColor theme="2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>
        <color theme="2" tint="-0.4999699890613556"/>
      </bottom>
    </border>
    <border>
      <left>
        <color indexed="63"/>
      </left>
      <right style="medium"/>
      <top>
        <color indexed="63"/>
      </top>
      <bottom style="medium">
        <color theme="2" tint="-0.49996998906135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ashed">
        <color theme="2" tint="-0.4999699890613556"/>
      </bottom>
    </border>
    <border>
      <left style="medium"/>
      <right style="medium"/>
      <top>
        <color indexed="63"/>
      </top>
      <bottom style="medium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73" fillId="2" borderId="0" applyNumberFormat="0" applyBorder="0" applyAlignment="0" applyProtection="0"/>
    <xf numFmtId="0" fontId="73" fillId="10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2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5" borderId="1" applyNumberFormat="0" applyAlignment="0" applyProtection="0"/>
    <xf numFmtId="0" fontId="76" fillId="0" borderId="2" applyNumberFormat="0" applyFill="0" applyAlignment="0" applyProtection="0"/>
    <xf numFmtId="0" fontId="0" fillId="18" borderId="3" applyNumberFormat="0" applyFont="0" applyAlignment="0" applyProtection="0"/>
    <xf numFmtId="0" fontId="77" fillId="19" borderId="1" applyNumberFormat="0" applyAlignment="0" applyProtection="0"/>
    <xf numFmtId="0" fontId="7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81" fillId="2" borderId="0" applyNumberFormat="0" applyBorder="0" applyAlignment="0" applyProtection="0"/>
    <xf numFmtId="0" fontId="82" fillId="5" borderId="4" applyNumberFormat="0" applyAlignment="0" applyProtection="0"/>
    <xf numFmtId="0" fontId="8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84" fillId="22" borderId="9" applyNumberFormat="0" applyAlignment="0" applyProtection="0"/>
  </cellStyleXfs>
  <cellXfs count="138">
    <xf numFmtId="0" fontId="0" fillId="0" borderId="0" xfId="0" applyAlignment="1">
      <alignment/>
    </xf>
    <xf numFmtId="0" fontId="0" fillId="23" borderId="0" xfId="0" applyFont="1" applyFill="1" applyAlignment="1" applyProtection="1">
      <alignment/>
      <protection locked="0"/>
    </xf>
    <xf numFmtId="0" fontId="0" fillId="23" borderId="0" xfId="0" applyFont="1" applyFill="1" applyBorder="1" applyAlignment="1" applyProtection="1">
      <alignment/>
      <protection locked="0"/>
    </xf>
    <xf numFmtId="0" fontId="1" fillId="23" borderId="0" xfId="0" applyFont="1" applyFill="1" applyBorder="1" applyAlignment="1" applyProtection="1">
      <alignment horizontal="center"/>
      <protection locked="0"/>
    </xf>
    <xf numFmtId="0" fontId="14" fillId="24" borderId="0" xfId="0" applyFont="1" applyFill="1" applyAlignment="1" applyProtection="1">
      <alignment horizontal="center"/>
      <protection locked="0"/>
    </xf>
    <xf numFmtId="0" fontId="0" fillId="23" borderId="0" xfId="0" applyFont="1" applyFill="1" applyAlignment="1" applyProtection="1">
      <alignment horizontal="right"/>
      <protection hidden="1"/>
    </xf>
    <xf numFmtId="0" fontId="17" fillId="23" borderId="0" xfId="0" applyFont="1" applyFill="1" applyAlignment="1" applyProtection="1">
      <alignment horizontal="right"/>
      <protection hidden="1"/>
    </xf>
    <xf numFmtId="0" fontId="85" fillId="25" borderId="10" xfId="0" applyFont="1" applyFill="1" applyBorder="1" applyAlignment="1" applyProtection="1">
      <alignment horizontal="center"/>
      <protection hidden="1"/>
    </xf>
    <xf numFmtId="0" fontId="86" fillId="25" borderId="10" xfId="0" applyFont="1" applyFill="1" applyBorder="1" applyAlignment="1" applyProtection="1">
      <alignment horizontal="center"/>
      <protection hidden="1"/>
    </xf>
    <xf numFmtId="0" fontId="85" fillId="26" borderId="10" xfId="0" applyFont="1" applyFill="1" applyBorder="1" applyAlignment="1" applyProtection="1">
      <alignment horizontal="center"/>
      <protection hidden="1"/>
    </xf>
    <xf numFmtId="0" fontId="85" fillId="26" borderId="11" xfId="0" applyFont="1" applyFill="1" applyBorder="1" applyAlignment="1" applyProtection="1">
      <alignment horizontal="center"/>
      <protection hidden="1"/>
    </xf>
    <xf numFmtId="0" fontId="9" fillId="23" borderId="0" xfId="0" applyFont="1" applyFill="1" applyAlignment="1" applyProtection="1">
      <alignment horizontal="center"/>
      <protection hidden="1"/>
    </xf>
    <xf numFmtId="0" fontId="87" fillId="23" borderId="0" xfId="0" applyFont="1" applyFill="1" applyAlignment="1" applyProtection="1">
      <alignment horizontal="center"/>
      <protection hidden="1"/>
    </xf>
    <xf numFmtId="0" fontId="88" fillId="23" borderId="0" xfId="0" applyFont="1" applyFill="1" applyAlignment="1" applyProtection="1">
      <alignment horizontal="center"/>
      <protection hidden="1"/>
    </xf>
    <xf numFmtId="0" fontId="89" fillId="23" borderId="0" xfId="0" applyFont="1" applyFill="1" applyBorder="1" applyAlignment="1" applyProtection="1">
      <alignment horizontal="center"/>
      <protection hidden="1"/>
    </xf>
    <xf numFmtId="0" fontId="85" fillId="26" borderId="12" xfId="0" applyFont="1" applyFill="1" applyBorder="1" applyAlignment="1" applyProtection="1">
      <alignment horizontal="center"/>
      <protection hidden="1"/>
    </xf>
    <xf numFmtId="0" fontId="85" fillId="26" borderId="13" xfId="0" applyFont="1" applyFill="1" applyBorder="1" applyAlignment="1" applyProtection="1">
      <alignment horizontal="center"/>
      <protection hidden="1"/>
    </xf>
    <xf numFmtId="2" fontId="14" fillId="27" borderId="10" xfId="0" applyNumberFormat="1" applyFont="1" applyFill="1" applyBorder="1" applyAlignment="1" applyProtection="1">
      <alignment horizontal="center"/>
      <protection hidden="1"/>
    </xf>
    <xf numFmtId="0" fontId="0" fillId="23" borderId="0" xfId="0" applyFont="1" applyFill="1" applyAlignment="1" applyProtection="1">
      <alignment/>
      <protection/>
    </xf>
    <xf numFmtId="0" fontId="6" fillId="23" borderId="0" xfId="0" applyFont="1" applyFill="1" applyAlignment="1" applyProtection="1">
      <alignment/>
      <protection/>
    </xf>
    <xf numFmtId="1" fontId="0" fillId="23" borderId="0" xfId="0" applyNumberFormat="1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/>
      <protection/>
    </xf>
    <xf numFmtId="0" fontId="0" fillId="23" borderId="0" xfId="0" applyFont="1" applyFill="1" applyBorder="1" applyAlignment="1" applyProtection="1">
      <alignment horizontal="center"/>
      <protection/>
    </xf>
    <xf numFmtId="0" fontId="0" fillId="23" borderId="0" xfId="0" applyFont="1" applyFill="1" applyBorder="1" applyAlignment="1" applyProtection="1">
      <alignment/>
      <protection/>
    </xf>
    <xf numFmtId="0" fontId="1" fillId="23" borderId="0" xfId="0" applyFont="1" applyFill="1" applyBorder="1" applyAlignment="1" applyProtection="1">
      <alignment horizontal="center"/>
      <protection/>
    </xf>
    <xf numFmtId="0" fontId="1" fillId="23" borderId="0" xfId="0" applyFont="1" applyFill="1" applyAlignment="1" applyProtection="1">
      <alignment horizontal="center"/>
      <protection/>
    </xf>
    <xf numFmtId="0" fontId="6" fillId="23" borderId="0" xfId="0" applyFont="1" applyFill="1" applyAlignment="1" applyProtection="1">
      <alignment horizontal="center"/>
      <protection/>
    </xf>
    <xf numFmtId="0" fontId="10" fillId="23" borderId="0" xfId="0" applyFont="1" applyFill="1" applyAlignment="1" applyProtection="1">
      <alignment horizontal="left"/>
      <protection/>
    </xf>
    <xf numFmtId="0" fontId="13" fillId="23" borderId="0" xfId="0" applyFont="1" applyFill="1" applyBorder="1" applyAlignment="1" applyProtection="1">
      <alignment horizontal="center"/>
      <protection/>
    </xf>
    <xf numFmtId="0" fontId="11" fillId="23" borderId="0" xfId="0" applyFont="1" applyFill="1" applyBorder="1" applyAlignment="1" applyProtection="1">
      <alignment horizontal="center"/>
      <protection/>
    </xf>
    <xf numFmtId="0" fontId="0" fillId="23" borderId="14" xfId="0" applyFont="1" applyFill="1" applyBorder="1" applyAlignment="1" applyProtection="1">
      <alignment/>
      <protection/>
    </xf>
    <xf numFmtId="0" fontId="1" fillId="23" borderId="15" xfId="0" applyFont="1" applyFill="1" applyBorder="1" applyAlignment="1" applyProtection="1">
      <alignment horizontal="left"/>
      <protection/>
    </xf>
    <xf numFmtId="0" fontId="0" fillId="23" borderId="16" xfId="0" applyFont="1" applyFill="1" applyBorder="1" applyAlignment="1" applyProtection="1">
      <alignment/>
      <protection/>
    </xf>
    <xf numFmtId="0" fontId="1" fillId="23" borderId="14" xfId="0" applyFont="1" applyFill="1" applyBorder="1" applyAlignment="1" applyProtection="1">
      <alignment horizontal="center"/>
      <protection/>
    </xf>
    <xf numFmtId="0" fontId="1" fillId="23" borderId="16" xfId="0" applyFont="1" applyFill="1" applyBorder="1" applyAlignment="1" applyProtection="1">
      <alignment horizontal="center"/>
      <protection/>
    </xf>
    <xf numFmtId="0" fontId="1" fillId="23" borderId="16" xfId="0" applyFont="1" applyFill="1" applyBorder="1" applyAlignment="1" applyProtection="1">
      <alignment horizontal="left"/>
      <protection/>
    </xf>
    <xf numFmtId="0" fontId="1" fillId="23" borderId="17" xfId="0" applyFont="1" applyFill="1" applyBorder="1" applyAlignment="1" applyProtection="1">
      <alignment horizontal="center"/>
      <protection/>
    </xf>
    <xf numFmtId="0" fontId="11" fillId="23" borderId="0" xfId="0" applyFont="1" applyFill="1" applyAlignment="1" applyProtection="1">
      <alignment/>
      <protection/>
    </xf>
    <xf numFmtId="0" fontId="1" fillId="23" borderId="18" xfId="0" applyFont="1" applyFill="1" applyBorder="1" applyAlignment="1" applyProtection="1">
      <alignment horizontal="center"/>
      <protection/>
    </xf>
    <xf numFmtId="0" fontId="1" fillId="23" borderId="19" xfId="0" applyFont="1" applyFill="1" applyBorder="1" applyAlignment="1" applyProtection="1">
      <alignment horizontal="center"/>
      <protection/>
    </xf>
    <xf numFmtId="0" fontId="1" fillId="23" borderId="20" xfId="0" applyFont="1" applyFill="1" applyBorder="1" applyAlignment="1" applyProtection="1">
      <alignment horizontal="center"/>
      <protection/>
    </xf>
    <xf numFmtId="0" fontId="1" fillId="23" borderId="15" xfId="0" applyFont="1" applyFill="1" applyBorder="1" applyAlignment="1" applyProtection="1">
      <alignment horizontal="center"/>
      <protection/>
    </xf>
    <xf numFmtId="0" fontId="1" fillId="23" borderId="21" xfId="0" applyFont="1" applyFill="1" applyBorder="1" applyAlignment="1" applyProtection="1">
      <alignment horizontal="center"/>
      <protection/>
    </xf>
    <xf numFmtId="0" fontId="1" fillId="23" borderId="22" xfId="0" applyFont="1" applyFill="1" applyBorder="1" applyAlignment="1" applyProtection="1">
      <alignment horizontal="center"/>
      <protection/>
    </xf>
    <xf numFmtId="0" fontId="1" fillId="23" borderId="23" xfId="0" applyFont="1" applyFill="1" applyBorder="1" applyAlignment="1" applyProtection="1">
      <alignment horizontal="center"/>
      <protection/>
    </xf>
    <xf numFmtId="2" fontId="1" fillId="23" borderId="24" xfId="0" applyNumberFormat="1" applyFont="1" applyFill="1" applyBorder="1" applyAlignment="1" applyProtection="1">
      <alignment horizontal="center"/>
      <protection/>
    </xf>
    <xf numFmtId="2" fontId="1" fillId="23" borderId="25" xfId="0" applyNumberFormat="1" applyFont="1" applyFill="1" applyBorder="1" applyAlignment="1" applyProtection="1">
      <alignment horizontal="center"/>
      <protection/>
    </xf>
    <xf numFmtId="0" fontId="1" fillId="23" borderId="26" xfId="0" applyFont="1" applyFill="1" applyBorder="1" applyAlignment="1" applyProtection="1">
      <alignment horizontal="center"/>
      <protection/>
    </xf>
    <xf numFmtId="0" fontId="11" fillId="23" borderId="0" xfId="0" applyFont="1" applyFill="1" applyAlignment="1" applyProtection="1">
      <alignment horizontal="left"/>
      <protection/>
    </xf>
    <xf numFmtId="0" fontId="11" fillId="23" borderId="0" xfId="0" applyFont="1" applyFill="1" applyBorder="1" applyAlignment="1" applyProtection="1">
      <alignment horizontal="left"/>
      <protection/>
    </xf>
    <xf numFmtId="0" fontId="6" fillId="23" borderId="0" xfId="0" applyFont="1" applyFill="1" applyBorder="1" applyAlignment="1" applyProtection="1">
      <alignment horizontal="center"/>
      <protection/>
    </xf>
    <xf numFmtId="0" fontId="6" fillId="23" borderId="0" xfId="0" applyFont="1" applyFill="1" applyAlignment="1" applyProtection="1">
      <alignment horizontal="left"/>
      <protection/>
    </xf>
    <xf numFmtId="0" fontId="1" fillId="23" borderId="27" xfId="0" applyFont="1" applyFill="1" applyBorder="1" applyAlignment="1" applyProtection="1">
      <alignment horizontal="center"/>
      <protection/>
    </xf>
    <xf numFmtId="0" fontId="0" fillId="23" borderId="0" xfId="0" applyFont="1" applyFill="1" applyAlignment="1" applyProtection="1">
      <alignment horizontal="left"/>
      <protection/>
    </xf>
    <xf numFmtId="0" fontId="0" fillId="23" borderId="0" xfId="0" applyFont="1" applyFill="1" applyBorder="1" applyAlignment="1" applyProtection="1">
      <alignment horizontal="left"/>
      <protection/>
    </xf>
    <xf numFmtId="0" fontId="8" fillId="23" borderId="0" xfId="0" applyFont="1" applyFill="1" applyBorder="1" applyAlignment="1" applyProtection="1">
      <alignment horizontal="center"/>
      <protection/>
    </xf>
    <xf numFmtId="2" fontId="1" fillId="23" borderId="27" xfId="0" applyNumberFormat="1" applyFont="1" applyFill="1" applyBorder="1" applyAlignment="1" applyProtection="1">
      <alignment horizontal="center"/>
      <protection/>
    </xf>
    <xf numFmtId="0" fontId="1" fillId="23" borderId="28" xfId="0" applyFont="1" applyFill="1" applyBorder="1" applyAlignment="1" applyProtection="1">
      <alignment horizontal="center"/>
      <protection/>
    </xf>
    <xf numFmtId="2" fontId="1" fillId="23" borderId="29" xfId="0" applyNumberFormat="1" applyFont="1" applyFill="1" applyBorder="1" applyAlignment="1" applyProtection="1">
      <alignment horizontal="center"/>
      <protection/>
    </xf>
    <xf numFmtId="1" fontId="1" fillId="23" borderId="0" xfId="57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/>
      <protection/>
    </xf>
    <xf numFmtId="2" fontId="1" fillId="23" borderId="0" xfId="0" applyNumberFormat="1" applyFont="1" applyFill="1" applyBorder="1" applyAlignment="1" applyProtection="1">
      <alignment horizontal="center"/>
      <protection/>
    </xf>
    <xf numFmtId="2" fontId="1" fillId="23" borderId="12" xfId="0" applyNumberFormat="1" applyFont="1" applyFill="1" applyBorder="1" applyAlignment="1" applyProtection="1">
      <alignment horizontal="center"/>
      <protection/>
    </xf>
    <xf numFmtId="1" fontId="1" fillId="23" borderId="0" xfId="0" applyNumberFormat="1" applyFont="1" applyFill="1" applyBorder="1" applyAlignment="1" applyProtection="1">
      <alignment horizontal="center"/>
      <protection/>
    </xf>
    <xf numFmtId="2" fontId="1" fillId="23" borderId="30" xfId="0" applyNumberFormat="1" applyFont="1" applyFill="1" applyBorder="1" applyAlignment="1" applyProtection="1">
      <alignment horizontal="center"/>
      <protection/>
    </xf>
    <xf numFmtId="0" fontId="1" fillId="23" borderId="31" xfId="0" applyFont="1" applyFill="1" applyBorder="1" applyAlignment="1" applyProtection="1">
      <alignment horizontal="center"/>
      <protection/>
    </xf>
    <xf numFmtId="0" fontId="1" fillId="23" borderId="0" xfId="0" applyNumberFormat="1" applyFont="1" applyFill="1" applyBorder="1" applyAlignment="1" applyProtection="1">
      <alignment horizontal="center"/>
      <protection/>
    </xf>
    <xf numFmtId="0" fontId="16" fillId="23" borderId="0" xfId="0" applyFont="1" applyFill="1" applyAlignment="1" applyProtection="1">
      <alignment/>
      <protection/>
    </xf>
    <xf numFmtId="0" fontId="16" fillId="23" borderId="0" xfId="0" applyFont="1" applyFill="1" applyBorder="1" applyAlignment="1" applyProtection="1">
      <alignment/>
      <protection/>
    </xf>
    <xf numFmtId="0" fontId="7" fillId="23" borderId="0" xfId="0" applyFont="1" applyFill="1" applyAlignment="1" applyProtection="1">
      <alignment horizontal="center"/>
      <protection/>
    </xf>
    <xf numFmtId="2" fontId="14" fillId="28" borderId="10" xfId="0" applyNumberFormat="1" applyFont="1" applyFill="1" applyBorder="1" applyAlignment="1" applyProtection="1">
      <alignment horizontal="center"/>
      <protection hidden="1"/>
    </xf>
    <xf numFmtId="0" fontId="90" fillId="29" borderId="10" xfId="0" applyFont="1" applyFill="1" applyBorder="1" applyAlignment="1" applyProtection="1">
      <alignment horizontal="center"/>
      <protection locked="0"/>
    </xf>
    <xf numFmtId="175" fontId="21" fillId="29" borderId="10" xfId="0" applyNumberFormat="1" applyFont="1" applyFill="1" applyBorder="1" applyAlignment="1" applyProtection="1">
      <alignment horizontal="center"/>
      <protection locked="0"/>
    </xf>
    <xf numFmtId="0" fontId="21" fillId="29" borderId="10" xfId="0" applyFont="1" applyFill="1" applyBorder="1" applyAlignment="1" applyProtection="1">
      <alignment horizontal="center"/>
      <protection locked="0"/>
    </xf>
    <xf numFmtId="1" fontId="21" fillId="29" borderId="32" xfId="52" applyNumberFormat="1" applyFont="1" applyFill="1" applyBorder="1" applyAlignment="1" applyProtection="1">
      <alignment horizontal="center"/>
      <protection locked="0"/>
    </xf>
    <xf numFmtId="2" fontId="21" fillId="29" borderId="33" xfId="0" applyNumberFormat="1" applyFont="1" applyFill="1" applyBorder="1" applyAlignment="1" applyProtection="1">
      <alignment horizontal="center"/>
      <protection locked="0"/>
    </xf>
    <xf numFmtId="1" fontId="21" fillId="29" borderId="10" xfId="0" applyNumberFormat="1" applyFont="1" applyFill="1" applyBorder="1" applyAlignment="1" applyProtection="1">
      <alignment horizontal="center"/>
      <protection locked="0"/>
    </xf>
    <xf numFmtId="2" fontId="21" fillId="29" borderId="12" xfId="0" applyNumberFormat="1" applyFont="1" applyFill="1" applyBorder="1" applyAlignment="1" applyProtection="1">
      <alignment horizontal="center"/>
      <protection locked="0"/>
    </xf>
    <xf numFmtId="0" fontId="46" fillId="29" borderId="10" xfId="0" applyFont="1" applyFill="1" applyBorder="1" applyAlignment="1" applyProtection="1">
      <alignment horizontal="center"/>
      <protection locked="0"/>
    </xf>
    <xf numFmtId="1" fontId="21" fillId="29" borderId="22" xfId="52" applyNumberFormat="1" applyFont="1" applyFill="1" applyBorder="1" applyAlignment="1" applyProtection="1">
      <alignment horizontal="center"/>
      <protection locked="0"/>
    </xf>
    <xf numFmtId="2" fontId="21" fillId="24" borderId="33" xfId="0" applyNumberFormat="1" applyFont="1" applyFill="1" applyBorder="1" applyAlignment="1" applyProtection="1">
      <alignment horizontal="center"/>
      <protection locked="0"/>
    </xf>
    <xf numFmtId="1" fontId="21" fillId="24" borderId="10" xfId="0" applyNumberFormat="1" applyFont="1" applyFill="1" applyBorder="1" applyAlignment="1" applyProtection="1">
      <alignment horizontal="center"/>
      <protection locked="0"/>
    </xf>
    <xf numFmtId="2" fontId="21" fillId="30" borderId="12" xfId="0" applyNumberFormat="1" applyFont="1" applyFill="1" applyBorder="1" applyAlignment="1" applyProtection="1">
      <alignment horizontal="center"/>
      <protection locked="0"/>
    </xf>
    <xf numFmtId="0" fontId="21" fillId="24" borderId="10" xfId="0" applyFont="1" applyFill="1" applyBorder="1" applyAlignment="1" applyProtection="1">
      <alignment horizontal="center"/>
      <protection locked="0"/>
    </xf>
    <xf numFmtId="0" fontId="46" fillId="24" borderId="10" xfId="0" applyFont="1" applyFill="1" applyBorder="1" applyAlignment="1" applyProtection="1">
      <alignment horizontal="center"/>
      <protection locked="0"/>
    </xf>
    <xf numFmtId="2" fontId="21" fillId="30" borderId="34" xfId="0" applyNumberFormat="1" applyFont="1" applyFill="1" applyBorder="1" applyAlignment="1" applyProtection="1">
      <alignment horizontal="center"/>
      <protection locked="0"/>
    </xf>
    <xf numFmtId="2" fontId="21" fillId="30" borderId="35" xfId="0" applyNumberFormat="1" applyFont="1" applyFill="1" applyBorder="1" applyAlignment="1" applyProtection="1">
      <alignment horizontal="center"/>
      <protection locked="0"/>
    </xf>
    <xf numFmtId="2" fontId="21" fillId="24" borderId="10" xfId="0" applyNumberFormat="1" applyFont="1" applyFill="1" applyBorder="1" applyAlignment="1" applyProtection="1">
      <alignment horizontal="center"/>
      <protection locked="0"/>
    </xf>
    <xf numFmtId="0" fontId="91" fillId="25" borderId="36" xfId="58" applyFont="1" applyFill="1" applyBorder="1" applyAlignment="1" applyProtection="1">
      <alignment horizontal="center" vertical="center"/>
      <protection hidden="1"/>
    </xf>
    <xf numFmtId="0" fontId="91" fillId="25" borderId="37" xfId="58" applyFont="1" applyFill="1" applyBorder="1" applyAlignment="1" applyProtection="1">
      <alignment horizontal="center" vertical="center"/>
      <protection hidden="1"/>
    </xf>
    <xf numFmtId="0" fontId="92" fillId="31" borderId="36" xfId="58" applyFont="1" applyFill="1" applyBorder="1" applyAlignment="1" applyProtection="1">
      <alignment horizontal="center" vertical="center" wrapText="1"/>
      <protection hidden="1"/>
    </xf>
    <xf numFmtId="0" fontId="14" fillId="27" borderId="36" xfId="58" applyFont="1" applyFill="1" applyBorder="1" applyAlignment="1" applyProtection="1">
      <alignment horizontal="center" vertical="center" wrapText="1"/>
      <protection hidden="1"/>
    </xf>
    <xf numFmtId="0" fontId="14" fillId="31" borderId="36" xfId="58" applyFont="1" applyFill="1" applyBorder="1" applyAlignment="1" applyProtection="1">
      <alignment horizontal="center" vertical="center" wrapText="1"/>
      <protection hidden="1"/>
    </xf>
    <xf numFmtId="0" fontId="14" fillId="27" borderId="38" xfId="58" applyFont="1" applyFill="1" applyBorder="1" applyAlignment="1" applyProtection="1">
      <alignment horizontal="center" vertical="center" wrapText="1"/>
      <protection hidden="1"/>
    </xf>
    <xf numFmtId="0" fontId="85" fillId="26" borderId="0" xfId="58" applyFont="1" applyFill="1" applyBorder="1" applyAlignment="1" applyProtection="1">
      <alignment horizontal="center"/>
      <protection hidden="1"/>
    </xf>
    <xf numFmtId="0" fontId="85" fillId="25" borderId="33" xfId="58" applyFont="1" applyFill="1" applyBorder="1" applyAlignment="1" applyProtection="1">
      <alignment horizontal="center"/>
      <protection hidden="1"/>
    </xf>
    <xf numFmtId="0" fontId="86" fillId="25" borderId="33" xfId="58" applyFont="1" applyFill="1" applyBorder="1" applyAlignment="1" applyProtection="1">
      <alignment horizontal="center"/>
      <protection hidden="1"/>
    </xf>
    <xf numFmtId="0" fontId="85" fillId="25" borderId="0" xfId="58" applyFont="1" applyFill="1" applyBorder="1" applyAlignment="1" applyProtection="1">
      <alignment horizontal="center"/>
      <protection hidden="1"/>
    </xf>
    <xf numFmtId="0" fontId="14" fillId="31" borderId="39" xfId="58" applyFont="1" applyFill="1" applyBorder="1" applyAlignment="1" applyProtection="1">
      <alignment horizontal="center" vertical="center" wrapText="1"/>
      <protection hidden="1"/>
    </xf>
    <xf numFmtId="175" fontId="21" fillId="24" borderId="10" xfId="0" applyNumberFormat="1" applyFont="1" applyFill="1" applyBorder="1" applyAlignment="1" applyProtection="1">
      <alignment horizontal="center"/>
      <protection locked="0"/>
    </xf>
    <xf numFmtId="175" fontId="21" fillId="24" borderId="40" xfId="0" applyNumberFormat="1" applyFont="1" applyFill="1" applyBorder="1" applyAlignment="1" applyProtection="1">
      <alignment horizontal="center"/>
      <protection locked="0"/>
    </xf>
    <xf numFmtId="175" fontId="21" fillId="24" borderId="41" xfId="0" applyNumberFormat="1" applyFont="1" applyFill="1" applyBorder="1" applyAlignment="1" applyProtection="1">
      <alignment horizontal="center"/>
      <protection locked="0"/>
    </xf>
    <xf numFmtId="1" fontId="21" fillId="29" borderId="10" xfId="52" applyNumberFormat="1" applyFont="1" applyFill="1" applyBorder="1" applyAlignment="1" applyProtection="1">
      <alignment horizontal="center"/>
      <protection locked="0"/>
    </xf>
    <xf numFmtId="0" fontId="1" fillId="24" borderId="33" xfId="0" applyFont="1" applyFill="1" applyBorder="1" applyAlignment="1" applyProtection="1">
      <alignment horizontal="center"/>
      <protection locked="0"/>
    </xf>
    <xf numFmtId="1" fontId="1" fillId="24" borderId="10" xfId="0" applyNumberFormat="1" applyFont="1" applyFill="1" applyBorder="1" applyAlignment="1" applyProtection="1">
      <alignment horizontal="center"/>
      <protection locked="0"/>
    </xf>
    <xf numFmtId="0" fontId="1" fillId="24" borderId="22" xfId="0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/>
      <protection locked="0"/>
    </xf>
    <xf numFmtId="0" fontId="1" fillId="24" borderId="27" xfId="0" applyFont="1" applyFill="1" applyBorder="1" applyAlignment="1" applyProtection="1">
      <alignment horizontal="center"/>
      <protection locked="0"/>
    </xf>
    <xf numFmtId="0" fontId="8" fillId="24" borderId="10" xfId="0" applyFont="1" applyFill="1" applyBorder="1" applyAlignment="1" applyProtection="1">
      <alignment horizontal="center"/>
      <protection locked="0"/>
    </xf>
    <xf numFmtId="8" fontId="93" fillId="23" borderId="0" xfId="0" applyNumberFormat="1" applyFont="1" applyFill="1" applyAlignment="1" applyProtection="1">
      <alignment horizontal="center"/>
      <protection hidden="1"/>
    </xf>
    <xf numFmtId="0" fontId="12" fillId="23" borderId="0" xfId="0" applyFont="1" applyFill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2" fontId="94" fillId="0" borderId="0" xfId="61" applyNumberFormat="1" applyFont="1" applyAlignment="1" applyProtection="1">
      <alignment horizontal="center"/>
      <protection/>
    </xf>
    <xf numFmtId="0" fontId="95" fillId="0" borderId="0" xfId="0" applyFont="1" applyAlignment="1" applyProtection="1">
      <alignment/>
      <protection/>
    </xf>
    <xf numFmtId="0" fontId="19" fillId="32" borderId="42" xfId="0" applyFont="1" applyFill="1" applyBorder="1" applyAlignment="1" applyProtection="1">
      <alignment vertical="center"/>
      <protection locked="0"/>
    </xf>
    <xf numFmtId="0" fontId="19" fillId="32" borderId="42" xfId="0" applyFont="1" applyFill="1" applyBorder="1" applyAlignment="1" applyProtection="1">
      <alignment horizontal="left" vertical="center"/>
      <protection locked="0"/>
    </xf>
    <xf numFmtId="0" fontId="19" fillId="32" borderId="43" xfId="0" applyFont="1" applyFill="1" applyBorder="1" applyAlignment="1" applyProtection="1">
      <alignment horizontal="left" vertical="center"/>
      <protection locked="0"/>
    </xf>
    <xf numFmtId="0" fontId="19" fillId="32" borderId="42" xfId="0" applyFont="1" applyFill="1" applyBorder="1" applyAlignment="1" applyProtection="1">
      <alignment horizontal="left" vertical="center"/>
      <protection locked="0"/>
    </xf>
    <xf numFmtId="0" fontId="7" fillId="23" borderId="42" xfId="0" applyFont="1" applyFill="1" applyBorder="1" applyAlignment="1" applyProtection="1">
      <alignment horizontal="center"/>
      <protection/>
    </xf>
    <xf numFmtId="0" fontId="0" fillId="23" borderId="42" xfId="0" applyFont="1" applyFill="1" applyBorder="1" applyAlignment="1" applyProtection="1">
      <alignment/>
      <protection/>
    </xf>
    <xf numFmtId="0" fontId="6" fillId="23" borderId="42" xfId="0" applyFont="1" applyFill="1" applyBorder="1" applyAlignment="1" applyProtection="1">
      <alignment/>
      <protection/>
    </xf>
    <xf numFmtId="0" fontId="19" fillId="32" borderId="43" xfId="0" applyFont="1" applyFill="1" applyBorder="1" applyAlignment="1" applyProtection="1">
      <alignment horizontal="left" vertical="center"/>
      <protection locked="0"/>
    </xf>
    <xf numFmtId="0" fontId="0" fillId="23" borderId="44" xfId="0" applyFont="1" applyFill="1" applyBorder="1" applyAlignment="1" applyProtection="1">
      <alignment/>
      <protection/>
    </xf>
    <xf numFmtId="186" fontId="0" fillId="23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23" borderId="0" xfId="0" applyFont="1" applyFill="1" applyAlignment="1" applyProtection="1">
      <alignment horizontal="center"/>
      <protection/>
    </xf>
    <xf numFmtId="0" fontId="19" fillId="32" borderId="45" xfId="0" applyFont="1" applyFill="1" applyBorder="1" applyAlignment="1" applyProtection="1">
      <alignment vertical="center"/>
      <protection/>
    </xf>
    <xf numFmtId="0" fontId="19" fillId="32" borderId="44" xfId="0" applyFont="1" applyFill="1" applyBorder="1" applyAlignment="1" applyProtection="1">
      <alignment vertical="center"/>
      <protection/>
    </xf>
    <xf numFmtId="0" fontId="19" fillId="32" borderId="46" xfId="0" applyFont="1" applyFill="1" applyBorder="1" applyAlignment="1" applyProtection="1">
      <alignment vertical="center"/>
      <protection/>
    </xf>
    <xf numFmtId="0" fontId="96" fillId="0" borderId="0" xfId="0" applyFont="1" applyAlignment="1" applyProtection="1">
      <alignment/>
      <protection/>
    </xf>
    <xf numFmtId="0" fontId="97" fillId="0" borderId="0" xfId="0" applyFont="1" applyAlignment="1" applyProtection="1">
      <alignment/>
      <protection/>
    </xf>
    <xf numFmtId="2" fontId="15" fillId="23" borderId="0" xfId="0" applyNumberFormat="1" applyFont="1" applyFill="1" applyAlignment="1" applyProtection="1">
      <alignment/>
      <protection/>
    </xf>
    <xf numFmtId="2" fontId="0" fillId="23" borderId="0" xfId="0" applyNumberFormat="1" applyFont="1" applyFill="1" applyAlignment="1" applyProtection="1">
      <alignment/>
      <protection/>
    </xf>
    <xf numFmtId="0" fontId="19" fillId="32" borderId="47" xfId="0" applyFont="1" applyFill="1" applyBorder="1" applyAlignment="1" applyProtection="1">
      <alignment horizontal="left" vertical="center"/>
      <protection/>
    </xf>
    <xf numFmtId="0" fontId="19" fillId="32" borderId="47" xfId="0" applyFont="1" applyFill="1" applyBorder="1" applyAlignment="1" applyProtection="1">
      <alignment horizontal="center" vertical="center"/>
      <protection/>
    </xf>
    <xf numFmtId="0" fontId="19" fillId="32" borderId="47" xfId="0" applyFont="1" applyFill="1" applyBorder="1" applyAlignment="1" applyProtection="1">
      <alignment horizontal="right" vertical="center"/>
      <protection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2 2" xfId="54"/>
    <cellStyle name="Normal 2 3" xfId="55"/>
    <cellStyle name="Normal 2 3 2" xfId="56"/>
    <cellStyle name="Normal 3" xfId="57"/>
    <cellStyle name="Normal 3 2" xfId="58"/>
    <cellStyle name="Normal 3 3" xfId="59"/>
    <cellStyle name="Normal 4" xfId="60"/>
    <cellStyle name="Normal 5" xfId="61"/>
    <cellStyle name="Normal 6" xfId="62"/>
    <cellStyle name="Normal 7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F3F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4C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025"/>
          <c:w val="0.81275"/>
          <c:h val="0.95675"/>
        </c:manualLayout>
      </c:layout>
      <c:lineChart>
        <c:grouping val="standard"/>
        <c:varyColors val="0"/>
        <c:ser>
          <c:idx val="0"/>
          <c:order val="0"/>
          <c:tx>
            <c:v>PERCENTUALI DI CARICO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0"/>
            <c:dispRSqr val="0"/>
          </c:trendline>
          <c:cat>
            <c:strRef>
              <c:f>Typogramm!$B$15:$B$116</c:f>
              <c:strCache>
                <c:ptCount val="102"/>
                <c:pt idx="0">
                  <c:v>Do-9 (Do0)</c:v>
                </c:pt>
                <c:pt idx="1">
                  <c:v>Do#-8 (Do#0)</c:v>
                </c:pt>
                <c:pt idx="2">
                  <c:v>Do-7 (Do0)</c:v>
                </c:pt>
                <c:pt idx="3">
                  <c:v>Re#-6 (Re#0)</c:v>
                </c:pt>
                <c:pt idx="4">
                  <c:v>Mi-5 (Mi0)</c:v>
                </c:pt>
                <c:pt idx="5">
                  <c:v>Fa-4 (Fa0)</c:v>
                </c:pt>
                <c:pt idx="6">
                  <c:v>Fa#-3 (Fa#0)</c:v>
                </c:pt>
                <c:pt idx="7">
                  <c:v>Sol-2 (Sol0)</c:v>
                </c:pt>
                <c:pt idx="8">
                  <c:v>Sol#-1 (Sol#0)</c:v>
                </c:pt>
                <c:pt idx="9">
                  <c:v>La1 (La0)</c:v>
                </c:pt>
                <c:pt idx="10">
                  <c:v>Sib2 (Sib0)</c:v>
                </c:pt>
                <c:pt idx="11">
                  <c:v>Si3 (Si0)</c:v>
                </c:pt>
                <c:pt idx="12">
                  <c:v>Do4 (Do1)</c:v>
                </c:pt>
                <c:pt idx="13">
                  <c:v>Do#5 (Do#1)</c:v>
                </c:pt>
                <c:pt idx="14">
                  <c:v>Re6 (Re1)</c:v>
                </c:pt>
                <c:pt idx="15">
                  <c:v>Re#7 (Re#1)</c:v>
                </c:pt>
                <c:pt idx="16">
                  <c:v>Mi8 (Mi1)</c:v>
                </c:pt>
                <c:pt idx="17">
                  <c:v>Fa9 (Fa1)</c:v>
                </c:pt>
                <c:pt idx="18">
                  <c:v>Fa#10 (Fa#1)</c:v>
                </c:pt>
                <c:pt idx="19">
                  <c:v>Sol11 (Sol1)</c:v>
                </c:pt>
                <c:pt idx="20">
                  <c:v>Sol#12 (Sol#1)</c:v>
                </c:pt>
                <c:pt idx="21">
                  <c:v>La13 (La1)</c:v>
                </c:pt>
                <c:pt idx="22">
                  <c:v>Sib14 (Sib1)</c:v>
                </c:pt>
                <c:pt idx="23">
                  <c:v>Si15 (Si1)</c:v>
                </c:pt>
                <c:pt idx="24">
                  <c:v>Do16 (Do2)</c:v>
                </c:pt>
                <c:pt idx="25">
                  <c:v>Do#17 (Do#2)</c:v>
                </c:pt>
                <c:pt idx="26">
                  <c:v>Re18 (Re2)</c:v>
                </c:pt>
                <c:pt idx="27">
                  <c:v>Re#19 (Re#2)</c:v>
                </c:pt>
                <c:pt idx="28">
                  <c:v>Mi20 (Mi2)</c:v>
                </c:pt>
                <c:pt idx="29">
                  <c:v>Fa21 (Fa2)</c:v>
                </c:pt>
                <c:pt idx="30">
                  <c:v>Fa#22 (Fa#2)</c:v>
                </c:pt>
                <c:pt idx="31">
                  <c:v>Sol23 (Sol2)</c:v>
                </c:pt>
                <c:pt idx="32">
                  <c:v>Sol#24 (Sol#2)</c:v>
                </c:pt>
                <c:pt idx="33">
                  <c:v>La25 (La2)</c:v>
                </c:pt>
                <c:pt idx="34">
                  <c:v>Sib26 (Sib2)</c:v>
                </c:pt>
                <c:pt idx="35">
                  <c:v>Si27 (Si2)</c:v>
                </c:pt>
                <c:pt idx="36">
                  <c:v>Do28 (Do3)</c:v>
                </c:pt>
                <c:pt idx="37">
                  <c:v>Do#29 (Do#3)</c:v>
                </c:pt>
                <c:pt idx="38">
                  <c:v>Re30 (Re3)</c:v>
                </c:pt>
                <c:pt idx="39">
                  <c:v>Re#31 (Re#3)</c:v>
                </c:pt>
                <c:pt idx="40">
                  <c:v>Mi32 (Mi3)</c:v>
                </c:pt>
                <c:pt idx="41">
                  <c:v>Fa33 (Fa3)</c:v>
                </c:pt>
                <c:pt idx="42">
                  <c:v>Fa#34 (Fa#23)</c:v>
                </c:pt>
                <c:pt idx="43">
                  <c:v>Sol35 (Sol3)</c:v>
                </c:pt>
                <c:pt idx="44">
                  <c:v>Sol#36 (Sol#3)</c:v>
                </c:pt>
                <c:pt idx="45">
                  <c:v>La37 (La3)</c:v>
                </c:pt>
                <c:pt idx="46">
                  <c:v>Sib38 (Sib3)</c:v>
                </c:pt>
                <c:pt idx="47">
                  <c:v>Si39 (Si3)</c:v>
                </c:pt>
                <c:pt idx="48">
                  <c:v>Do40 (Do4)</c:v>
                </c:pt>
                <c:pt idx="49">
                  <c:v>Do#41 (Do#4)</c:v>
                </c:pt>
                <c:pt idx="50">
                  <c:v>Re42 (Re4)</c:v>
                </c:pt>
                <c:pt idx="51">
                  <c:v>Re#43 (Re#4)</c:v>
                </c:pt>
                <c:pt idx="52">
                  <c:v>Mi44 (Mi4)</c:v>
                </c:pt>
                <c:pt idx="53">
                  <c:v>Fa45 (Fa4)</c:v>
                </c:pt>
                <c:pt idx="54">
                  <c:v>Fa#46 (Fa#4)</c:v>
                </c:pt>
                <c:pt idx="55">
                  <c:v>Sol47 (Sol4)</c:v>
                </c:pt>
                <c:pt idx="56">
                  <c:v>Sol#48 (Sol#4)</c:v>
                </c:pt>
                <c:pt idx="57">
                  <c:v>La49 (La4)</c:v>
                </c:pt>
                <c:pt idx="58">
                  <c:v>Sib50 (Sib4)</c:v>
                </c:pt>
                <c:pt idx="59">
                  <c:v>Si51 (Si4)</c:v>
                </c:pt>
                <c:pt idx="60">
                  <c:v>Do52 (Do5)</c:v>
                </c:pt>
                <c:pt idx="61">
                  <c:v>Do#53 (Do#5)</c:v>
                </c:pt>
                <c:pt idx="62">
                  <c:v>Re54 (Re5)</c:v>
                </c:pt>
                <c:pt idx="63">
                  <c:v>Re#55 (Re#5)</c:v>
                </c:pt>
                <c:pt idx="64">
                  <c:v>Mi56 (Mi5)</c:v>
                </c:pt>
                <c:pt idx="65">
                  <c:v>Fa57 (Fa5)</c:v>
                </c:pt>
                <c:pt idx="66">
                  <c:v>Fa#58 (Fa#5)</c:v>
                </c:pt>
                <c:pt idx="67">
                  <c:v>Sol59 (Sol5)</c:v>
                </c:pt>
                <c:pt idx="68">
                  <c:v>Sol#60 (Sol#5)</c:v>
                </c:pt>
                <c:pt idx="69">
                  <c:v>La61 (La5)</c:v>
                </c:pt>
                <c:pt idx="70">
                  <c:v>Sib62 (Sib5)</c:v>
                </c:pt>
                <c:pt idx="71">
                  <c:v>Si63 (Si5)</c:v>
                </c:pt>
                <c:pt idx="72">
                  <c:v>Do64 (Do6)</c:v>
                </c:pt>
                <c:pt idx="73">
                  <c:v>Do#65 (Do#6)</c:v>
                </c:pt>
                <c:pt idx="74">
                  <c:v>Re66 (Re6)</c:v>
                </c:pt>
                <c:pt idx="75">
                  <c:v>Re#67 (Re#6)</c:v>
                </c:pt>
                <c:pt idx="76">
                  <c:v>Mi68 (Mi6)</c:v>
                </c:pt>
                <c:pt idx="77">
                  <c:v>Fa69 (Fa9)</c:v>
                </c:pt>
                <c:pt idx="78">
                  <c:v>Fa#70 (Fa#6)</c:v>
                </c:pt>
                <c:pt idx="79">
                  <c:v>Sol71 (Sol6)</c:v>
                </c:pt>
                <c:pt idx="80">
                  <c:v>Sol#72 (Sol#6)</c:v>
                </c:pt>
                <c:pt idx="81">
                  <c:v>La73 (La6)</c:v>
                </c:pt>
                <c:pt idx="82">
                  <c:v>Sib74 (Sib6)</c:v>
                </c:pt>
                <c:pt idx="83">
                  <c:v>Si75 (Si6)</c:v>
                </c:pt>
                <c:pt idx="84">
                  <c:v>Do76 (Do7)</c:v>
                </c:pt>
                <c:pt idx="85">
                  <c:v>Do#77 (Do#7)</c:v>
                </c:pt>
                <c:pt idx="86">
                  <c:v>Re78 (Re7)</c:v>
                </c:pt>
                <c:pt idx="87">
                  <c:v>Re#79 (Re#7)</c:v>
                </c:pt>
                <c:pt idx="88">
                  <c:v>Mi80 (Mi7)</c:v>
                </c:pt>
                <c:pt idx="89">
                  <c:v>Fa81 (Fa7)</c:v>
                </c:pt>
                <c:pt idx="90">
                  <c:v>Fa#82 (Fa#7)</c:v>
                </c:pt>
                <c:pt idx="91">
                  <c:v>Sol83 (Sol7)</c:v>
                </c:pt>
                <c:pt idx="92">
                  <c:v>Sol#84 (Sol#7)</c:v>
                </c:pt>
                <c:pt idx="93">
                  <c:v>L85 (La7)</c:v>
                </c:pt>
                <c:pt idx="94">
                  <c:v>Sib86 (Sib7)</c:v>
                </c:pt>
                <c:pt idx="95">
                  <c:v>Si87 (Si7)</c:v>
                </c:pt>
                <c:pt idx="96">
                  <c:v>Do88 (Do8)</c:v>
                </c:pt>
                <c:pt idx="97">
                  <c:v>Do#89 (Do#8)</c:v>
                </c:pt>
                <c:pt idx="98">
                  <c:v>Re90 (Re8)</c:v>
                </c:pt>
                <c:pt idx="99">
                  <c:v>Re#91 (Re#8)</c:v>
                </c:pt>
                <c:pt idx="100">
                  <c:v>Mi92 (Mi8)</c:v>
                </c:pt>
                <c:pt idx="101">
                  <c:v>Fa93 (Fa8)</c:v>
                </c:pt>
              </c:strCache>
            </c:strRef>
          </c:cat>
          <c:val>
            <c:numRef>
              <c:f>Typogramm!$L$15:$L$116</c:f>
              <c:numCache>
                <c:ptCount val="10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53.500636909918235</c:v>
                </c:pt>
                <c:pt idx="10">
                  <c:v>55.84157773197893</c:v>
                </c:pt>
                <c:pt idx="11">
                  <c:v>56.74316622674882</c:v>
                </c:pt>
                <c:pt idx="12">
                  <c:v>59.38252597256659</c:v>
                </c:pt>
                <c:pt idx="13">
                  <c:v>55.786029269942794</c:v>
                </c:pt>
                <c:pt idx="14">
                  <c:v>58.33742774560284</c:v>
                </c:pt>
                <c:pt idx="15">
                  <c:v>60.908835649250264</c:v>
                </c:pt>
                <c:pt idx="16">
                  <c:v>52.17693644554794</c:v>
                </c:pt>
                <c:pt idx="17">
                  <c:v>54.398496240244356</c:v>
                </c:pt>
                <c:pt idx="18">
                  <c:v>54.97931931299564</c:v>
                </c:pt>
                <c:pt idx="19">
                  <c:v>54.186838335782355</c:v>
                </c:pt>
                <c:pt idx="20">
                  <c:v>53.80581993069096</c:v>
                </c:pt>
                <c:pt idx="21">
                  <c:v>55.209780358452015</c:v>
                </c:pt>
                <c:pt idx="22">
                  <c:v>56.17172304473784</c:v>
                </c:pt>
                <c:pt idx="23">
                  <c:v>54.94961139831676</c:v>
                </c:pt>
                <c:pt idx="24">
                  <c:v>58.05258157893824</c:v>
                </c:pt>
                <c:pt idx="25">
                  <c:v>60.26223980368784</c:v>
                </c:pt>
                <c:pt idx="26">
                  <c:v>55.9051546404335</c:v>
                </c:pt>
                <c:pt idx="27">
                  <c:v>56.22030872237259</c:v>
                </c:pt>
                <c:pt idx="28">
                  <c:v>56.0787166572994</c:v>
                </c:pt>
                <c:pt idx="29">
                  <c:v>55.7766890083507</c:v>
                </c:pt>
                <c:pt idx="30">
                  <c:v>56.38900533880711</c:v>
                </c:pt>
                <c:pt idx="31">
                  <c:v>57.44314547738146</c:v>
                </c:pt>
                <c:pt idx="32">
                  <c:v>58.74935552404718</c:v>
                </c:pt>
                <c:pt idx="33">
                  <c:v>56.97046984115525</c:v>
                </c:pt>
                <c:pt idx="34">
                  <c:v>57.58842655709244</c:v>
                </c:pt>
                <c:pt idx="35">
                  <c:v>58.31633472694843</c:v>
                </c:pt>
                <c:pt idx="36">
                  <c:v>57.97797416938352</c:v>
                </c:pt>
                <c:pt idx="37">
                  <c:v>58.07542227766698</c:v>
                </c:pt>
                <c:pt idx="38">
                  <c:v>57.56635122982979</c:v>
                </c:pt>
                <c:pt idx="39">
                  <c:v>55.78196706005757</c:v>
                </c:pt>
                <c:pt idx="40">
                  <c:v>55.00985597616111</c:v>
                </c:pt>
                <c:pt idx="41">
                  <c:v>54.35873238213723</c:v>
                </c:pt>
                <c:pt idx="42">
                  <c:v>53.627004574061836</c:v>
                </c:pt>
                <c:pt idx="43">
                  <c:v>53.75832115147069</c:v>
                </c:pt>
                <c:pt idx="44">
                  <c:v>52.53243131690569</c:v>
                </c:pt>
                <c:pt idx="45">
                  <c:v>53.956131503717785</c:v>
                </c:pt>
                <c:pt idx="46">
                  <c:v>55.34944339465369</c:v>
                </c:pt>
                <c:pt idx="47">
                  <c:v>56.53825124881848</c:v>
                </c:pt>
                <c:pt idx="48">
                  <c:v>57.66617387950489</c:v>
                </c:pt>
                <c:pt idx="49">
                  <c:v>58.33929106499171</c:v>
                </c:pt>
                <c:pt idx="50">
                  <c:v>59.098985231518924</c:v>
                </c:pt>
                <c:pt idx="51">
                  <c:v>59.53734968746885</c:v>
                </c:pt>
                <c:pt idx="52">
                  <c:v>59.36129836534875</c:v>
                </c:pt>
                <c:pt idx="53">
                  <c:v>59.582472561571024</c:v>
                </c:pt>
                <c:pt idx="54">
                  <c:v>59.66888583086012</c:v>
                </c:pt>
                <c:pt idx="55">
                  <c:v>60.44589397856598</c:v>
                </c:pt>
                <c:pt idx="56">
                  <c:v>61.18877947875852</c:v>
                </c:pt>
                <c:pt idx="57">
                  <c:v>60.65637849244274</c:v>
                </c:pt>
                <c:pt idx="58">
                  <c:v>62.31350779104579</c:v>
                </c:pt>
                <c:pt idx="59">
                  <c:v>63.35675244084414</c:v>
                </c:pt>
                <c:pt idx="60">
                  <c:v>56.28254717052474</c:v>
                </c:pt>
                <c:pt idx="61">
                  <c:v>57.01545842093922</c:v>
                </c:pt>
                <c:pt idx="62">
                  <c:v>57.0958297330885</c:v>
                </c:pt>
                <c:pt idx="63">
                  <c:v>57.93918363383791</c:v>
                </c:pt>
                <c:pt idx="64">
                  <c:v>59.79750068188423</c:v>
                </c:pt>
                <c:pt idx="65">
                  <c:v>60.98975017583375</c:v>
                </c:pt>
                <c:pt idx="66">
                  <c:v>62.17288988142241</c:v>
                </c:pt>
                <c:pt idx="67">
                  <c:v>61.75691485634997</c:v>
                </c:pt>
                <c:pt idx="68">
                  <c:v>63.095780728986526</c:v>
                </c:pt>
                <c:pt idx="69">
                  <c:v>64.12505821916689</c:v>
                </c:pt>
                <c:pt idx="70">
                  <c:v>65.50456512263551</c:v>
                </c:pt>
                <c:pt idx="71">
                  <c:v>66.56116821835982</c:v>
                </c:pt>
                <c:pt idx="72">
                  <c:v>67.04046098258674</c:v>
                </c:pt>
                <c:pt idx="73">
                  <c:v>68.18272507061275</c:v>
                </c:pt>
                <c:pt idx="74">
                  <c:v>68.1675073699508</c:v>
                </c:pt>
                <c:pt idx="75">
                  <c:v>70.27502635369339</c:v>
                </c:pt>
                <c:pt idx="76">
                  <c:v>70.29613666780855</c:v>
                </c:pt>
                <c:pt idx="77">
                  <c:v>71.79909822373934</c:v>
                </c:pt>
                <c:pt idx="78">
                  <c:v>72.98800836344526</c:v>
                </c:pt>
                <c:pt idx="79">
                  <c:v>73.80969111866824</c:v>
                </c:pt>
                <c:pt idx="80">
                  <c:v>74.82720599042736</c:v>
                </c:pt>
                <c:pt idx="81">
                  <c:v>73.58558316241862</c:v>
                </c:pt>
                <c:pt idx="82">
                  <c:v>74.35710135890648</c:v>
                </c:pt>
                <c:pt idx="83">
                  <c:v>73.26078694169186</c:v>
                </c:pt>
                <c:pt idx="84">
                  <c:v>73.0130301875086</c:v>
                </c:pt>
                <c:pt idx="85">
                  <c:v>70.35551233077459</c:v>
                </c:pt>
                <c:pt idx="86">
                  <c:v>70.5196566149907</c:v>
                </c:pt>
                <c:pt idx="87">
                  <c:v>70.19582205081733</c:v>
                </c:pt>
                <c:pt idx="88">
                  <c:v>69.32861062217394</c:v>
                </c:pt>
                <c:pt idx="89">
                  <c:v>67.66205318387253</c:v>
                </c:pt>
                <c:pt idx="90">
                  <c:v>69.73366375495682</c:v>
                </c:pt>
                <c:pt idx="91">
                  <c:v>69.36121240231677</c:v>
                </c:pt>
                <c:pt idx="92">
                  <c:v>70.7749697313098</c:v>
                </c:pt>
                <c:pt idx="93">
                  <c:v>71.72272517806306</c:v>
                </c:pt>
                <c:pt idx="94">
                  <c:v>75.28985518356141</c:v>
                </c:pt>
                <c:pt idx="95">
                  <c:v>78.82473949876608</c:v>
                </c:pt>
                <c:pt idx="96">
                  <c:v>79.09449644129667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</c:numCache>
            </c:numRef>
          </c:val>
          <c:smooth val="0"/>
        </c:ser>
        <c:dropLines>
          <c:spPr>
            <a:ln w="3175">
              <a:solidFill>
                <a:srgbClr val="FFFFFF"/>
              </a:solidFill>
            </a:ln>
          </c:spPr>
        </c:dropLines>
        <c:marker val="1"/>
        <c:axId val="47727181"/>
        <c:axId val="26891446"/>
      </c:lineChart>
      <c:catAx>
        <c:axId val="4772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NOTA</a:t>
                </a:r>
              </a:p>
            </c:rich>
          </c:tx>
          <c:layout>
            <c:manualLayout>
              <c:xMode val="factor"/>
              <c:yMode val="factor"/>
              <c:x val="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6891446"/>
        <c:crosses val="autoZero"/>
        <c:auto val="1"/>
        <c:lblOffset val="100"/>
        <c:tickLblSkip val="2"/>
        <c:noMultiLvlLbl val="0"/>
      </c:catAx>
      <c:valAx>
        <c:axId val="2689144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PERCENTUALI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27181"/>
        <c:crossesAt val="1"/>
        <c:crossBetween val="between"/>
        <c:dispUnits/>
        <c:majorUnit val="5"/>
        <c:minorUnit val="1"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46425"/>
          <c:w val="0.184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75"/>
          <c:w val="0.90175"/>
          <c:h val="0.98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0"/>
            <c:dispRSqr val="0"/>
          </c:trendline>
          <c:cat>
            <c:strRef>
              <c:f>Typogramm!$B$15:$B$116</c:f>
              <c:strCache/>
            </c:strRef>
          </c:cat>
          <c:val>
            <c:numRef>
              <c:f>Typogramm!$G$15:$G$116</c:f>
            </c:numRef>
          </c:val>
          <c:smooth val="0"/>
        </c:ser>
        <c:marker val="1"/>
        <c:axId val="40696423"/>
        <c:axId val="30723488"/>
      </c:lineChart>
      <c:catAx>
        <c:axId val="4069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23488"/>
        <c:crossesAt val="0"/>
        <c:auto val="1"/>
        <c:lblOffset val="100"/>
        <c:tickLblSkip val="1"/>
        <c:noMultiLvlLbl val="0"/>
      </c:catAx>
      <c:valAx>
        <c:axId val="30723488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808080"/>
            </a:solidFill>
          </a:ln>
        </c:spPr>
        <c:crossAx val="40696423"/>
        <c:crossesAt val="1"/>
        <c:crossBetween val="between"/>
        <c:dispUnits/>
        <c:majorUnit val="50"/>
        <c:minorUnit val="25"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75"/>
          <c:y val="0.48275"/>
          <c:w val="0.111"/>
          <c:h val="0.0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9</xdr:row>
      <xdr:rowOff>133350</xdr:rowOff>
    </xdr:from>
    <xdr:to>
      <xdr:col>9</xdr:col>
      <xdr:colOff>190500</xdr:colOff>
      <xdr:row>11</xdr:row>
      <xdr:rowOff>85725</xdr:rowOff>
    </xdr:to>
    <xdr:sp>
      <xdr:nvSpPr>
        <xdr:cNvPr id="1" name="Rectangle à coins arrondis 6"/>
        <xdr:cNvSpPr>
          <a:spLocks/>
        </xdr:cNvSpPr>
      </xdr:nvSpPr>
      <xdr:spPr>
        <a:xfrm>
          <a:off x="2895600" y="1847850"/>
          <a:ext cx="2971800" cy="390525"/>
        </a:xfrm>
        <a:prstGeom prst="roundRect">
          <a:avLst/>
        </a:prstGeom>
        <a:noFill/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762000</xdr:colOff>
      <xdr:row>11</xdr:row>
      <xdr:rowOff>133350</xdr:rowOff>
    </xdr:to>
    <xdr:pic>
      <xdr:nvPicPr>
        <xdr:cNvPr id="2" name="Image 5" descr="logo_corde Bleu Paulel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209550</xdr:colOff>
      <xdr:row>20</xdr:row>
      <xdr:rowOff>152400</xdr:rowOff>
    </xdr:from>
    <xdr:to>
      <xdr:col>34</xdr:col>
      <xdr:colOff>666750</xdr:colOff>
      <xdr:row>62</xdr:row>
      <xdr:rowOff>200025</xdr:rowOff>
    </xdr:to>
    <xdr:sp>
      <xdr:nvSpPr>
        <xdr:cNvPr id="3" name="Rectangle à coins arrondis 3"/>
        <xdr:cNvSpPr>
          <a:spLocks/>
        </xdr:cNvSpPr>
      </xdr:nvSpPr>
      <xdr:spPr>
        <a:xfrm>
          <a:off x="10058400" y="4895850"/>
          <a:ext cx="7753350" cy="10058400"/>
        </a:xfrm>
        <a:prstGeom prst="roundRect">
          <a:avLst/>
        </a:prstGeom>
        <a:solidFill>
          <a:srgbClr val="FFFFFF"/>
        </a:solidFill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9966"/>
              </a:solidFill>
            </a:rPr>
            <a:t> Istruzioni d'uso</a:t>
          </a:r>
          <a:r>
            <a:rPr lang="en-US" cap="none" sz="2800" b="0" i="0" u="none" baseline="0">
              <a:solidFill>
                <a:srgbClr val="339966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Questo foglio di calcolo è utilizzabile per tastiere fino a 102 tasti, da Do</a:t>
          </a:r>
          <a:r>
            <a:rPr lang="en-US" cap="none" sz="1000" b="0" i="0" u="none" baseline="0">
              <a:solidFill>
                <a:srgbClr val="333333"/>
              </a:solidFill>
            </a:rPr>
            <a:t>0</a:t>
          </a:r>
          <a:r>
            <a:rPr lang="en-US" cap="none" sz="1300" b="0" i="0" u="none" baseline="0">
              <a:solidFill>
                <a:srgbClr val="333333"/>
              </a:solidFill>
            </a:rPr>
            <a:t> a Fa</a:t>
          </a:r>
          <a:r>
            <a:rPr lang="en-US" cap="none" sz="1000" b="0" i="0" u="none" baseline="0">
              <a:solidFill>
                <a:srgbClr val="333333"/>
              </a:solidFill>
            </a:rPr>
            <a:t>8</a:t>
          </a:r>
          <a:r>
            <a:rPr lang="en-US" cap="none" sz="1300" b="0" i="0" u="none" baseline="0">
              <a:solidFill>
                <a:srgbClr val="333333"/>
              </a:solidFill>
            </a:rPr>
            <a:t>.
</a:t>
          </a:r>
          <a:r>
            <a:rPr lang="en-US" cap="none" sz="1300" b="0" i="0" u="none" baseline="0">
              <a:solidFill>
                <a:srgbClr val="333333"/>
              </a:solidFill>
            </a:rPr>
            <a:t>Con usuale tastiera di 88 note compilare le colonne dal La</a:t>
          </a:r>
          <a:r>
            <a:rPr lang="en-US" cap="none" sz="1000" b="0" i="0" u="none" baseline="0">
              <a:solidFill>
                <a:srgbClr val="333333"/>
              </a:solidFill>
            </a:rPr>
            <a:t>1</a:t>
          </a:r>
          <a:r>
            <a:rPr lang="en-US" cap="none" sz="1300" b="0" i="0" u="none" baseline="0">
              <a:solidFill>
                <a:srgbClr val="333333"/>
              </a:solidFill>
            </a:rPr>
            <a:t> (La</a:t>
          </a:r>
          <a:r>
            <a:rPr lang="en-US" cap="none" sz="1000" b="0" i="0" u="none" baseline="0">
              <a:solidFill>
                <a:srgbClr val="333333"/>
              </a:solidFill>
            </a:rPr>
            <a:t>0</a:t>
          </a:r>
          <a:r>
            <a:rPr lang="en-US" cap="none" sz="1300" b="0" i="0" u="none" baseline="0">
              <a:solidFill>
                <a:srgbClr val="333333"/>
              </a:solidFill>
            </a:rPr>
            <a:t>).</a:t>
          </a:r>
          <a:r>
            <a:rPr lang="en-US" cap="none" sz="1400" b="0" i="0" u="none" baseline="0">
              <a:solidFill>
                <a:srgbClr val="333333"/>
              </a:solidFill>
            </a:rPr>
            <a:t>
</a:t>
          </a:r>
          <a:r>
            <a:rPr lang="en-US" cap="none" sz="1800" b="0" i="0" u="sng" baseline="0">
              <a:solidFill>
                <a:srgbClr val="333333"/>
              </a:solidFill>
            </a:rPr>
            <a:t>
</a:t>
          </a:r>
          <a:r>
            <a:rPr lang="en-US" cap="none" sz="1800" b="0" i="0" u="sng" baseline="0">
              <a:solidFill>
                <a:srgbClr val="333333"/>
              </a:solidFill>
            </a:rPr>
            <a:t>Corde filate (bassi):</a:t>
          </a:r>
          <a:r>
            <a:rPr lang="en-US" cap="none" sz="1800" b="0" i="0" u="none" baseline="0">
              <a:solidFill>
                <a:srgbClr val="333333"/>
              </a:solidFill>
            </a:rPr>
            <a:t> 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Scegliere il diapason: </a:t>
          </a:r>
          <a:r>
            <a:rPr lang="en-US" cap="none" sz="1300" b="0" i="0" u="none" baseline="0">
              <a:solidFill>
                <a:srgbClr val="333333"/>
              </a:solidFill>
            </a:rPr>
            <a:t>La</a:t>
          </a:r>
          <a:r>
            <a:rPr lang="en-US" cap="none" sz="1000" b="0" i="0" u="none" baseline="0">
              <a:solidFill>
                <a:srgbClr val="333333"/>
              </a:solidFill>
            </a:rPr>
            <a:t>49</a:t>
          </a:r>
          <a:r>
            <a:rPr lang="en-US" cap="none" sz="1300" b="0" i="0" u="none" baseline="0">
              <a:solidFill>
                <a:srgbClr val="333333"/>
              </a:solidFill>
            </a:rPr>
            <a:t> (La</a:t>
          </a:r>
          <a:r>
            <a:rPr lang="en-US" cap="none" sz="1000" b="0" i="0" u="none" baseline="0">
              <a:solidFill>
                <a:srgbClr val="333333"/>
              </a:solidFill>
            </a:rPr>
            <a:t>4</a:t>
          </a:r>
          <a:r>
            <a:rPr lang="en-US" cap="none" sz="1300" b="0" i="0" u="none" baseline="0">
              <a:solidFill>
                <a:srgbClr val="333333"/>
              </a:solidFill>
            </a:rPr>
            <a:t>) </a:t>
          </a:r>
          <a:r>
            <a:rPr lang="en-US" cap="none" sz="1300" b="0" i="0" u="none" baseline="0">
              <a:solidFill>
                <a:srgbClr val="333333"/>
              </a:solidFill>
            </a:rPr>
            <a:t>= 440 Hz</a:t>
          </a:r>
          <a:r>
            <a:rPr lang="en-US" cap="none" sz="1300" b="0" i="0" u="none" baseline="0">
              <a:solidFill>
                <a:srgbClr val="333333"/>
              </a:solidFill>
            </a:rPr>
            <a:t>  o altro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Inserire</a:t>
          </a:r>
          <a:r>
            <a:rPr lang="en-US" cap="none" sz="1300" b="0" i="0" u="none" baseline="0">
              <a:solidFill>
                <a:srgbClr val="333333"/>
              </a:solidFill>
            </a:rPr>
            <a:t> nel</a:t>
          </a:r>
          <a:r>
            <a:rPr lang="en-US" cap="none" sz="1300" b="0" i="0" u="none" baseline="0">
              <a:solidFill>
                <a:srgbClr val="333333"/>
              </a:solidFill>
            </a:rPr>
            <a:t>le colonne azzurre: Diametro acciaio in</a:t>
          </a:r>
          <a:r>
            <a:rPr lang="en-US" cap="none" sz="1300" b="0" i="0" u="none" baseline="0">
              <a:solidFill>
                <a:srgbClr val="333333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mm, Diametro</a:t>
          </a:r>
          <a:r>
            <a:rPr lang="en-US" cap="none" sz="1300" b="0" i="0" u="none" baseline="0">
              <a:solidFill>
                <a:srgbClr val="333333"/>
              </a:solidFill>
            </a:rPr>
            <a:t> totale</a:t>
          </a:r>
          <a:r>
            <a:rPr lang="en-US" cap="none" sz="1300" b="0" i="0" u="none" baseline="0">
              <a:solidFill>
                <a:srgbClr val="333333"/>
              </a:solidFill>
            </a:rPr>
            <a:t> in mm, lunghezza cantante in mm, numero corde per coro, materiale filatura (inserire: "Rame", "Otton"e</a:t>
          </a:r>
          <a:r>
            <a:rPr lang="en-US" cap="none" sz="1300" b="0" i="0" u="none" baseline="0">
              <a:solidFill>
                <a:srgbClr val="333333"/>
              </a:solidFill>
            </a:rPr>
            <a:t> o "Ferro"</a:t>
          </a:r>
          <a:r>
            <a:rPr lang="en-US" cap="none" sz="1300" b="0" i="0" u="none" baseline="0">
              <a:solidFill>
                <a:srgbClr val="333333"/>
              </a:solidFill>
            </a:rPr>
            <a:t>).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Scegliere il tipo di acciaio ("XM", "M", "0", "1" oppure "2") adatto per proporzionare le percentuali di carico  nella colonna accanto : </a:t>
          </a:r>
          <a:r>
            <a:rPr lang="en-US" cap="none" sz="1300" b="1" i="0" u="none" baseline="0">
              <a:solidFill>
                <a:srgbClr val="333333"/>
              </a:solidFill>
            </a:rPr>
            <a:t>La percentuale di carico per</a:t>
          </a:r>
          <a:r>
            <a:rPr lang="en-US" cap="none" sz="1300" b="1" i="0" u="none" baseline="0">
              <a:solidFill>
                <a:srgbClr val="333333"/>
              </a:solidFill>
            </a:rPr>
            <a:t> l'</a:t>
          </a:r>
          <a:r>
            <a:rPr lang="en-US" cap="none" sz="1300" b="1" i="0" u="none" baseline="0">
              <a:solidFill>
                <a:srgbClr val="333333"/>
              </a:solidFill>
            </a:rPr>
            <a:t>acciaio deve essere </a:t>
          </a:r>
          <a:r>
            <a:rPr lang="en-US" cap="none" sz="1300" b="1" i="0" u="none" baseline="0">
              <a:solidFill>
                <a:srgbClr val="993300"/>
              </a:solidFill>
            </a:rPr>
            <a:t>tra  il 50 e 55%</a:t>
          </a:r>
          <a:r>
            <a:rPr lang="en-US" cap="none" sz="1300" b="1" i="0" u="none" baseline="0">
              <a:solidFill>
                <a:srgbClr val="993300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(la</a:t>
          </a:r>
          <a:r>
            <a:rPr lang="en-US" cap="none" sz="1300" b="0" i="0" u="none" baseline="0">
              <a:solidFill>
                <a:srgbClr val="333333"/>
              </a:solidFill>
            </a:rPr>
            <a:t> tensione rimane inalterata</a:t>
          </a:r>
          <a:r>
            <a:rPr lang="en-US" cap="none" sz="1300" b="0" i="0" u="none" baseline="0">
              <a:solidFill>
                <a:srgbClr val="333333"/>
              </a:solidFill>
            </a:rPr>
            <a:t>).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Nelle corde dei bassi, mantenendo i diametri originali, spesso si devono</a:t>
          </a:r>
          <a:r>
            <a:rPr lang="en-US" cap="none" sz="1300" b="0" i="0" u="none" baseline="0">
              <a:solidFill>
                <a:srgbClr val="333333"/>
              </a:solidFill>
            </a:rPr>
            <a:t> utilizzare </a:t>
          </a:r>
          <a:r>
            <a:rPr lang="en-US" cap="none" sz="1300" b="0" i="0" u="none" baseline="0">
              <a:solidFill>
                <a:srgbClr val="333333"/>
              </a:solidFill>
            </a:rPr>
            <a:t>diversi tipi di acciaio.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Armonizzare il passagio dai cori monocorda ai bicorda, spesso di deve usare l'accaio tipo 0  per i primi bicorda.
</a:t>
          </a:r>
          <a:r>
            <a:rPr lang="en-US" cap="none" sz="1300" b="0" i="0" u="none" baseline="0">
              <a:solidFill>
                <a:srgbClr val="333333"/>
              </a:solidFill>
            </a:rPr>
            <a:t>Se la percentuale di carico dei cori bicorda prima del passagio  (verso settore medi) supera con l'accaio tipo M il 65%, utilizzare l'accaio tipo XM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1" i="1" u="none" baseline="0">
              <a:solidFill>
                <a:srgbClr val="333333"/>
              </a:solidFill>
            </a:rPr>
            <a:t> </a:t>
          </a:r>
          <a:r>
            <a:rPr lang="en-US" cap="none" sz="1300" b="1" i="1" u="none" baseline="0">
              <a:solidFill>
                <a:srgbClr val="993300"/>
              </a:solidFill>
            </a:rPr>
            <a:t>
</a:t>
          </a:r>
          <a:r>
            <a:rPr lang="en-US" cap="none" sz="1300" b="1" i="1" u="sng" baseline="0">
              <a:solidFill>
                <a:srgbClr val="333333"/>
              </a:solidFill>
            </a:rPr>
            <a:t>
</a:t>
          </a:r>
          <a:r>
            <a:rPr lang="en-US" cap="none" sz="1800" b="0" i="0" u="sng" baseline="0">
              <a:solidFill>
                <a:srgbClr val="333333"/>
              </a:solidFill>
            </a:rPr>
            <a:t>Corde in accaio (nude):</a:t>
          </a:r>
          <a:r>
            <a:rPr lang="en-US" cap="none" sz="1800" b="0" i="0" u="none" baseline="0">
              <a:solidFill>
                <a:srgbClr val="333333"/>
              </a:solidFill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Scegliere il diapason: </a:t>
          </a:r>
          <a:r>
            <a:rPr lang="en-US" cap="none" sz="1300" b="0" i="0" u="none" baseline="0">
              <a:solidFill>
                <a:srgbClr val="333333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La</a:t>
          </a:r>
          <a:r>
            <a:rPr lang="en-US" cap="none" sz="1000" b="0" i="0" u="none" baseline="0">
              <a:solidFill>
                <a:srgbClr val="333333"/>
              </a:solidFill>
            </a:rPr>
            <a:t>49</a:t>
          </a:r>
          <a:r>
            <a:rPr lang="en-US" cap="none" sz="1300" b="0" i="0" u="none" baseline="0">
              <a:solidFill>
                <a:srgbClr val="333333"/>
              </a:solidFill>
            </a:rPr>
            <a:t> (La</a:t>
          </a:r>
          <a:r>
            <a:rPr lang="en-US" cap="none" sz="1000" b="0" i="0" u="none" baseline="0">
              <a:solidFill>
                <a:srgbClr val="333333"/>
              </a:solidFill>
            </a:rPr>
            <a:t>4</a:t>
          </a:r>
          <a:r>
            <a:rPr lang="en-US" cap="none" sz="1300" b="0" i="0" u="none" baseline="0">
              <a:solidFill>
                <a:srgbClr val="333333"/>
              </a:solidFill>
            </a:rPr>
            <a:t>) = 440 Hz o altro
</a:t>
          </a:r>
          <a:r>
            <a:rPr lang="en-US" cap="none" sz="1300" b="0" i="0" u="none" baseline="0">
              <a:solidFill>
                <a:srgbClr val="333333"/>
              </a:solidFill>
            </a:rPr>
            <a:t>Inserire nelle colonne azzurre: Diametro acciaio in mm</a:t>
          </a:r>
          <a:r>
            <a:rPr lang="en-US" cap="none" sz="1300" b="0" i="0" u="none" baseline="0">
              <a:solidFill>
                <a:srgbClr val="333333"/>
              </a:solidFill>
            </a:rPr>
            <a:t> e</a:t>
          </a:r>
          <a:r>
            <a:rPr lang="en-US" cap="none" sz="1300" b="0" i="0" u="none" baseline="0">
              <a:solidFill>
                <a:srgbClr val="333333"/>
              </a:solidFill>
            </a:rPr>
            <a:t> Diametro totale in mm lo stesso dato dell'acciaio </a:t>
          </a:r>
          <a:r>
            <a:rPr lang="en-US" cap="none" sz="1300" b="0" i="0" u="none" baseline="0">
              <a:solidFill>
                <a:srgbClr val="333333"/>
              </a:solidFill>
            </a:rPr>
            <a:t>(</a:t>
          </a:r>
          <a:r>
            <a:rPr lang="en-US" cap="none" sz="1300" b="0" i="0" u="sng" baseline="0">
              <a:solidFill>
                <a:srgbClr val="333333"/>
              </a:solidFill>
            </a:rPr>
            <a:t>ossia</a:t>
          </a:r>
          <a:r>
            <a:rPr lang="en-US" cap="none" sz="1300" b="0" i="0" u="sng" baseline="0">
              <a:solidFill>
                <a:srgbClr val="333333"/>
              </a:solidFill>
            </a:rPr>
            <a:t> lo</a:t>
          </a:r>
          <a:r>
            <a:rPr lang="en-US" cap="none" sz="1300" b="0" i="1" u="sng" baseline="0">
              <a:solidFill>
                <a:srgbClr val="333333"/>
              </a:solidFill>
            </a:rPr>
            <a:t> </a:t>
          </a:r>
          <a:r>
            <a:rPr lang="en-US" cap="none" sz="1300" b="0" i="0" u="sng" baseline="0">
              <a:solidFill>
                <a:srgbClr val="333333"/>
              </a:solidFill>
            </a:rPr>
            <a:t>stesso dato  deve essere riportatio in entrambe le colonne</a:t>
          </a:r>
          <a:r>
            <a:rPr lang="en-US" cap="none" sz="1300" b="0" i="0" u="none" baseline="0">
              <a:solidFill>
                <a:srgbClr val="333333"/>
              </a:solidFill>
            </a:rPr>
            <a:t>)</a:t>
          </a:r>
          <a:r>
            <a:rPr lang="en-US" cap="none" sz="1300" b="0" i="0" u="none" baseline="0">
              <a:solidFill>
                <a:srgbClr val="333333"/>
              </a:solidFill>
            </a:rPr>
            <a:t>, lunghezza cantante in mm, numero corde per coro, tipo di acciaio</a:t>
          </a:r>
          <a:r>
            <a:rPr lang="en-US" cap="none" sz="1300" b="0" i="0" u="none" baseline="0">
              <a:solidFill>
                <a:srgbClr val="333333"/>
              </a:solidFill>
            </a:rPr>
            <a:t> (per le corde in acciaio è inutile inserire dati nella colonna "Materiale filatura").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Scegliere il tipo di</a:t>
          </a:r>
          <a:r>
            <a:rPr lang="en-US" cap="none" sz="1300" b="0" i="0" u="none" baseline="0">
              <a:solidFill>
                <a:srgbClr val="333333"/>
              </a:solidFill>
            </a:rPr>
            <a:t> acciaio "XM", "M", "0", "1" o "2" per proporzionare le </a:t>
          </a:r>
          <a:r>
            <a:rPr lang="en-US" cap="none" sz="1300" b="1" i="0" u="none" baseline="0">
              <a:solidFill>
                <a:srgbClr val="333333"/>
              </a:solidFill>
            </a:rPr>
            <a:t>percentuale di carico </a:t>
          </a:r>
          <a:r>
            <a:rPr lang="en-US" cap="none" sz="1300" b="0" i="0" u="none" baseline="0">
              <a:solidFill>
                <a:srgbClr val="333333"/>
              </a:solidFill>
            </a:rPr>
            <a:t>(colonna adiacente). La tensione rimane invariata.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E' consigliabile  seguire, all'incirca, i seguenti parametri: 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50% per le prime corde nude in acciaio </a:t>
          </a:r>
          <a:r>
            <a:rPr lang="en-US" cap="none" sz="1300" b="0" i="0" u="none" baseline="0">
              <a:solidFill>
                <a:srgbClr val="333333"/>
              </a:solidFill>
            </a:rPr>
            <a:t> del settore medi (prima del passaggio bassi) fino ad un massimo di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60% </a:t>
          </a:r>
          <a:r>
            <a:rPr lang="en-US" cap="none" sz="1300" b="0" i="0" u="none" baseline="0">
              <a:solidFill>
                <a:srgbClr val="333333"/>
              </a:solidFill>
            </a:rPr>
            <a:t>per La</a:t>
          </a:r>
          <a:r>
            <a:rPr lang="en-US" cap="none" sz="1000" b="0" i="0" u="none" baseline="0">
              <a:solidFill>
                <a:srgbClr val="333333"/>
              </a:solidFill>
            </a:rPr>
            <a:t>49</a:t>
          </a:r>
          <a:r>
            <a:rPr lang="en-US" cap="none" sz="1300" b="0" i="0" u="none" baseline="0">
              <a:solidFill>
                <a:srgbClr val="333333"/>
              </a:solidFill>
            </a:rPr>
            <a:t> (La</a:t>
          </a:r>
          <a:r>
            <a:rPr lang="en-US" cap="none" sz="1000" b="0" i="0" u="none" baseline="0">
              <a:solidFill>
                <a:srgbClr val="333333"/>
              </a:solidFill>
            </a:rPr>
            <a:t>4</a:t>
          </a:r>
          <a:r>
            <a:rPr lang="en-US" cap="none" sz="1300" b="0" i="0" u="none" baseline="0">
              <a:solidFill>
                <a:srgbClr val="333333"/>
              </a:solidFill>
            </a:rPr>
            <a:t>)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65% </a:t>
          </a:r>
          <a:r>
            <a:rPr lang="en-US" cap="none" sz="1300" b="0" i="0" u="none" baseline="0">
              <a:solidFill>
                <a:srgbClr val="333333"/>
              </a:solidFill>
            </a:rPr>
            <a:t>per La</a:t>
          </a:r>
          <a:r>
            <a:rPr lang="en-US" cap="none" sz="1000" b="0" i="0" u="none" baseline="0">
              <a:solidFill>
                <a:srgbClr val="333333"/>
              </a:solidFill>
            </a:rPr>
            <a:t>61</a:t>
          </a:r>
          <a:r>
            <a:rPr lang="en-US" cap="none" sz="1300" b="0" i="0" u="none" baseline="0">
              <a:solidFill>
                <a:srgbClr val="333333"/>
              </a:solidFill>
            </a:rPr>
            <a:t> (La</a:t>
          </a:r>
          <a:r>
            <a:rPr lang="en-US" cap="none" sz="1000" b="0" i="0" u="none" baseline="0">
              <a:solidFill>
                <a:srgbClr val="333333"/>
              </a:solidFill>
            </a:rPr>
            <a:t>5</a:t>
          </a:r>
          <a:r>
            <a:rPr lang="en-US" cap="none" sz="1300" b="0" i="0" u="none" baseline="0">
              <a:solidFill>
                <a:srgbClr val="333333"/>
              </a:solidFill>
            </a:rPr>
            <a:t>)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70% </a:t>
          </a:r>
          <a:r>
            <a:rPr lang="en-US" cap="none" sz="1300" b="0" i="0" u="none" baseline="0">
              <a:solidFill>
                <a:srgbClr val="333333"/>
              </a:solidFill>
            </a:rPr>
            <a:t>per</a:t>
          </a:r>
          <a:r>
            <a:rPr lang="en-US" cap="none" sz="1300" b="0" i="0" u="none" baseline="0">
              <a:solidFill>
                <a:srgbClr val="333333"/>
              </a:solidFill>
            </a:rPr>
            <a:t> La</a:t>
          </a:r>
          <a:r>
            <a:rPr lang="en-US" cap="none" sz="1000" b="0" i="0" u="none" baseline="0">
              <a:solidFill>
                <a:srgbClr val="333333"/>
              </a:solidFill>
            </a:rPr>
            <a:t>73</a:t>
          </a:r>
          <a:r>
            <a:rPr lang="en-US" cap="none" sz="1300" b="0" i="0" u="none" baseline="0">
              <a:solidFill>
                <a:srgbClr val="333333"/>
              </a:solidFill>
            </a:rPr>
            <a:t> (La</a:t>
          </a:r>
          <a:r>
            <a:rPr lang="en-US" cap="none" sz="1000" b="0" i="0" u="none" baseline="0">
              <a:solidFill>
                <a:srgbClr val="333333"/>
              </a:solidFill>
            </a:rPr>
            <a:t>6</a:t>
          </a:r>
          <a:r>
            <a:rPr lang="en-US" cap="none" sz="1300" b="0" i="0" u="none" baseline="0">
              <a:solidFill>
                <a:srgbClr val="333333"/>
              </a:solidFill>
            </a:rPr>
            <a:t>)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75% </a:t>
          </a:r>
          <a:r>
            <a:rPr lang="en-US" cap="none" sz="1300" b="0" i="0" u="none" baseline="0">
              <a:solidFill>
                <a:srgbClr val="333333"/>
              </a:solidFill>
            </a:rPr>
            <a:t>per</a:t>
          </a:r>
          <a:r>
            <a:rPr lang="en-US" cap="none" sz="1300" b="0" i="0" u="none" baseline="0">
              <a:solidFill>
                <a:srgbClr val="333333"/>
              </a:solidFill>
            </a:rPr>
            <a:t> La</a:t>
          </a:r>
          <a:r>
            <a:rPr lang="en-US" cap="none" sz="1000" b="0" i="0" u="none" baseline="0">
              <a:solidFill>
                <a:srgbClr val="333333"/>
              </a:solidFill>
            </a:rPr>
            <a:t>85</a:t>
          </a:r>
          <a:r>
            <a:rPr lang="en-US" cap="none" sz="1300" b="0" i="0" u="none" baseline="0">
              <a:solidFill>
                <a:srgbClr val="333333"/>
              </a:solidFill>
            </a:rPr>
            <a:t> (La</a:t>
          </a:r>
          <a:r>
            <a:rPr lang="en-US" cap="none" sz="1000" b="0" i="0" u="none" baseline="0">
              <a:solidFill>
                <a:srgbClr val="333333"/>
              </a:solidFill>
            </a:rPr>
            <a:t>7</a:t>
          </a:r>
          <a:r>
            <a:rPr lang="en-US" cap="none" sz="1300" b="0" i="0" u="none" baseline="0">
              <a:solidFill>
                <a:srgbClr val="333333"/>
              </a:solidFill>
            </a:rPr>
            <a:t>)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80% </a:t>
          </a:r>
          <a:r>
            <a:rPr lang="en-US" cap="none" sz="1300" b="0" i="0" u="none" baseline="0">
              <a:solidFill>
                <a:srgbClr val="333333"/>
              </a:solidFill>
            </a:rPr>
            <a:t>per</a:t>
          </a:r>
          <a:r>
            <a:rPr lang="en-US" cap="none" sz="1300" b="0" i="0" u="none" baseline="0">
              <a:solidFill>
                <a:srgbClr val="333333"/>
              </a:solidFill>
            </a:rPr>
            <a:t> Fa</a:t>
          </a:r>
          <a:r>
            <a:rPr lang="en-US" cap="none" sz="1000" b="0" i="0" u="none" baseline="0">
              <a:solidFill>
                <a:srgbClr val="333333"/>
              </a:solidFill>
            </a:rPr>
            <a:t>93</a:t>
          </a:r>
          <a:r>
            <a:rPr lang="en-US" cap="none" sz="1300" b="0" i="0" u="none" baseline="0">
              <a:solidFill>
                <a:srgbClr val="333333"/>
              </a:solidFill>
            </a:rPr>
            <a:t> (Fa</a:t>
          </a:r>
          <a:r>
            <a:rPr lang="en-US" cap="none" sz="1000" b="0" i="0" u="none" baseline="0">
              <a:solidFill>
                <a:srgbClr val="333333"/>
              </a:solidFill>
            </a:rPr>
            <a:t>8</a:t>
          </a:r>
          <a:r>
            <a:rPr lang="en-US" cap="none" sz="1300" b="0" i="0" u="none" baseline="0">
              <a:solidFill>
                <a:srgbClr val="333333"/>
              </a:solidFill>
            </a:rPr>
            <a:t>)</a:t>
          </a:r>
          <a:r>
            <a:rPr lang="en-US" cap="none" sz="1300" b="0" i="0" u="none" baseline="-25000">
              <a:solidFill>
                <a:srgbClr val="333333"/>
              </a:solidFill>
            </a:rPr>
            <a:t>
</a:t>
          </a:r>
          <a:r>
            <a:rPr lang="en-US" cap="none" sz="1300" b="0" i="0" u="none" baseline="-25000">
              <a:solidFill>
                <a:srgbClr val="333333"/>
              </a:solidFill>
            </a:rPr>
            <a:t>
</a:t>
          </a:r>
          <a:r>
            <a:rPr lang="en-US" cap="none" sz="1300" b="1" i="0" u="none" baseline="0">
              <a:solidFill>
                <a:srgbClr val="993300"/>
              </a:solidFill>
            </a:rPr>
            <a:t>La cordiera richiede spesso l'utilizzo di diversi  tipi di acciaio.
</a:t>
          </a:r>
          <a:r>
            <a:rPr lang="en-US" cap="none" sz="1300" b="1" i="0" u="none" baseline="0">
              <a:solidFill>
                <a:srgbClr val="993300"/>
              </a:solidFill>
            </a:rPr>
            <a:t>Tale cordiera viene nominata "cordiera ibrida"
</a:t>
          </a:r>
          <a:r>
            <a:rPr lang="en-US" cap="none" sz="1300" b="0" i="0" u="none" baseline="0">
              <a:solidFill>
                <a:srgbClr val="339966"/>
              </a:solidFill>
            </a:rPr>
            <a:t>
</a:t>
          </a:r>
          <a:r>
            <a:rPr lang="en-US" cap="none" sz="1300" b="1" i="1" u="none" baseline="0">
              <a:solidFill>
                <a:srgbClr val="339966"/>
              </a:solidFill>
            </a:rPr>
            <a:t>E' consigliabile non utilizzare l'acciaio tipo 2 per gli strumenti costruiti dopo il 1880</a:t>
          </a:r>
          <a:r>
            <a:rPr lang="en-US" cap="none" sz="1300" b="0" i="0" u="none" baseline="0">
              <a:solidFill>
                <a:srgbClr val="339966"/>
              </a:solidFill>
            </a:rPr>
            <a:t>
</a:t>
          </a:r>
          <a:r>
            <a:rPr lang="en-US" cap="none" sz="1300" b="0" i="0" u="none" baseline="0">
              <a:solidFill>
                <a:srgbClr val="993300"/>
              </a:solidFill>
            </a:rPr>
            <a:t>
</a:t>
          </a:r>
          <a:r>
            <a:rPr lang="en-US" cap="none" sz="1300" b="1" i="0" u="none" baseline="0">
              <a:solidFill>
                <a:srgbClr val="339966"/>
              </a:solidFill>
            </a:rPr>
            <a:t>cordes@stephenpaulello.com
</a:t>
          </a:r>
          <a:r>
            <a:rPr lang="en-US" cap="none" sz="1300" b="1" i="0" u="none" baseline="0">
              <a:solidFill>
                <a:srgbClr val="339966"/>
              </a:solidFill>
            </a:rPr>
            <a:t>wire@stephenpaulello.com
</a:t>
          </a:r>
          <a:r>
            <a:rPr lang="en-US" cap="none" sz="1300" b="1" i="0" u="none" baseline="0">
              <a:solidFill>
                <a:srgbClr val="339966"/>
              </a:solidFill>
            </a:rPr>
            <a:t>saiten@stephenpaulello.com
</a:t>
          </a:r>
          <a:r>
            <a:rPr lang="en-US" cap="none" sz="1300" b="1" i="0" u="none" baseline="0">
              <a:solidFill>
                <a:srgbClr val="339966"/>
              </a:solidFill>
            </a:rPr>
            <a:t>
</a:t>
          </a:r>
          <a:r>
            <a:rPr lang="en-US" cap="none" sz="1300" b="1" i="0" u="none" baseline="0">
              <a:solidFill>
                <a:srgbClr val="339966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1" i="1" u="none" baseline="0">
              <a:solidFill>
                <a:srgbClr val="333333"/>
              </a:solidFill>
            </a:rPr>
            <a:t> 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13</xdr:col>
      <xdr:colOff>800100</xdr:colOff>
      <xdr:row>12</xdr:row>
      <xdr:rowOff>171450</xdr:rowOff>
    </xdr:from>
    <xdr:to>
      <xdr:col>33</xdr:col>
      <xdr:colOff>352425</xdr:colOff>
      <xdr:row>20</xdr:row>
      <xdr:rowOff>123825</xdr:rowOff>
    </xdr:to>
    <xdr:grpSp>
      <xdr:nvGrpSpPr>
        <xdr:cNvPr id="4" name="Groupe 26"/>
        <xdr:cNvGrpSpPr>
          <a:grpSpLocks/>
        </xdr:cNvGrpSpPr>
      </xdr:nvGrpSpPr>
      <xdr:grpSpPr>
        <a:xfrm>
          <a:off x="10648950" y="2524125"/>
          <a:ext cx="6086475" cy="2343150"/>
          <a:chOff x="9077960" y="330200"/>
          <a:chExt cx="5854700" cy="2054860"/>
        </a:xfrm>
        <a:solidFill>
          <a:srgbClr val="FFFFFF"/>
        </a:solidFill>
      </xdr:grpSpPr>
      <xdr:pic>
        <xdr:nvPicPr>
          <xdr:cNvPr id="5" name="Image 5" descr="Corde Nue Petite Boucle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77960" y="330200"/>
            <a:ext cx="5854700" cy="20548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Connecteur droit avec flèche 8"/>
          <xdr:cNvSpPr>
            <a:spLocks/>
          </xdr:cNvSpPr>
        </xdr:nvSpPr>
        <xdr:spPr>
          <a:xfrm>
            <a:off x="9900545" y="639456"/>
            <a:ext cx="2867339" cy="783415"/>
          </a:xfrm>
          <a:prstGeom prst="straightConnector1">
            <a:avLst/>
          </a:prstGeom>
          <a:noFill/>
          <a:ln w="9525" cmpd="sng">
            <a:solidFill>
              <a:srgbClr val="215968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Connecteur droit 9"/>
          <xdr:cNvSpPr>
            <a:spLocks/>
          </xdr:cNvSpPr>
        </xdr:nvSpPr>
        <xdr:spPr>
          <a:xfrm flipV="1">
            <a:off x="9688312" y="653327"/>
            <a:ext cx="149295" cy="41097"/>
          </a:xfrm>
          <a:prstGeom prst="line">
            <a:avLst/>
          </a:prstGeom>
          <a:noFill/>
          <a:ln w="9525" cmpd="sng">
            <a:solidFill>
              <a:srgbClr val="215968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Connecteur droit 11"/>
          <xdr:cNvSpPr>
            <a:spLocks/>
          </xdr:cNvSpPr>
        </xdr:nvSpPr>
        <xdr:spPr>
          <a:xfrm flipV="1">
            <a:off x="12456122" y="1491710"/>
            <a:ext cx="191741" cy="54968"/>
          </a:xfrm>
          <a:prstGeom prst="line">
            <a:avLst/>
          </a:prstGeom>
          <a:noFill/>
          <a:ln w="9525" cmpd="sng">
            <a:solidFill>
              <a:srgbClr val="215968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552450</xdr:colOff>
      <xdr:row>10</xdr:row>
      <xdr:rowOff>133350</xdr:rowOff>
    </xdr:from>
    <xdr:to>
      <xdr:col>34</xdr:col>
      <xdr:colOff>742950</xdr:colOff>
      <xdr:row>17</xdr:row>
      <xdr:rowOff>161925</xdr:rowOff>
    </xdr:to>
    <xdr:sp>
      <xdr:nvSpPr>
        <xdr:cNvPr id="9" name="ZoneTexte 20"/>
        <xdr:cNvSpPr txBox="1">
          <a:spLocks noChangeArrowheads="1"/>
        </xdr:cNvSpPr>
      </xdr:nvSpPr>
      <xdr:spPr>
        <a:xfrm>
          <a:off x="11249025" y="2047875"/>
          <a:ext cx="66389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LUNGHEZZA CANTANTE: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Centro della 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agraffe /Capotasto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Centro punta anteriore ponticello</a:t>
          </a:r>
        </a:p>
      </xdr:txBody>
    </xdr:sp>
    <xdr:clientData/>
  </xdr:twoCellAnchor>
  <xdr:twoCellAnchor editAs="oneCell">
    <xdr:from>
      <xdr:col>12</xdr:col>
      <xdr:colOff>542925</xdr:colOff>
      <xdr:row>116</xdr:row>
      <xdr:rowOff>0</xdr:rowOff>
    </xdr:from>
    <xdr:to>
      <xdr:col>30</xdr:col>
      <xdr:colOff>247650</xdr:colOff>
      <xdr:row>116</xdr:row>
      <xdr:rowOff>438150</xdr:rowOff>
    </xdr:to>
    <xdr:pic>
      <xdr:nvPicPr>
        <xdr:cNvPr id="10" name="Image 10" descr="Signature Paulello NC (gris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27108150"/>
          <a:ext cx="3333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15</xdr:col>
      <xdr:colOff>133350</xdr:colOff>
      <xdr:row>36</xdr:row>
      <xdr:rowOff>114300</xdr:rowOff>
    </xdr:to>
    <xdr:graphicFrame>
      <xdr:nvGraphicFramePr>
        <xdr:cNvPr id="1" name="Grafico 5"/>
        <xdr:cNvGraphicFramePr/>
      </xdr:nvGraphicFramePr>
      <xdr:xfrm>
        <a:off x="104775" y="0"/>
        <a:ext cx="114585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0</xdr:rowOff>
    </xdr:from>
    <xdr:to>
      <xdr:col>14</xdr:col>
      <xdr:colOff>47625</xdr:colOff>
      <xdr:row>50</xdr:row>
      <xdr:rowOff>19050</xdr:rowOff>
    </xdr:to>
    <xdr:graphicFrame>
      <xdr:nvGraphicFramePr>
        <xdr:cNvPr id="1" name="Grafico 6"/>
        <xdr:cNvGraphicFramePr/>
      </xdr:nvGraphicFramePr>
      <xdr:xfrm>
        <a:off x="85725" y="323850"/>
        <a:ext cx="106299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W120"/>
  <sheetViews>
    <sheetView showGridLines="0" tabSelected="1" zoomScale="75" zoomScaleNormal="75" workbookViewId="0" topLeftCell="A1">
      <selection activeCell="H11" sqref="H11"/>
    </sheetView>
  </sheetViews>
  <sheetFormatPr defaultColWidth="11.28125" defaultRowHeight="12.75"/>
  <cols>
    <col min="1" max="1" width="7.00390625" style="1" customWidth="1"/>
    <col min="2" max="2" width="15.7109375" style="1" customWidth="1"/>
    <col min="3" max="3" width="14.00390625" style="1" customWidth="1"/>
    <col min="4" max="4" width="14.57421875" style="1" hidden="1" customWidth="1"/>
    <col min="5" max="5" width="17.28125" style="1" customWidth="1"/>
    <col min="6" max="6" width="15.00390625" style="1" customWidth="1"/>
    <col min="7" max="7" width="16.57421875" style="1" hidden="1" customWidth="1"/>
    <col min="8" max="8" width="16.140625" style="2" customWidth="1"/>
    <col min="9" max="9" width="7.421875" style="1" hidden="1" customWidth="1"/>
    <col min="10" max="10" width="16.00390625" style="1" customWidth="1"/>
    <col min="11" max="11" width="15.8515625" style="1" customWidth="1"/>
    <col min="12" max="12" width="18.28125" style="1" customWidth="1"/>
    <col min="13" max="13" width="12.421875" style="1" customWidth="1"/>
    <col min="14" max="14" width="12.7109375" style="18" customWidth="1"/>
    <col min="15" max="15" width="29.28125" style="18" customWidth="1"/>
    <col min="16" max="16" width="38.421875" style="18" hidden="1" customWidth="1"/>
    <col min="17" max="17" width="41.7109375" style="18" hidden="1" customWidth="1"/>
    <col min="18" max="18" width="19.00390625" style="18" hidden="1" customWidth="1"/>
    <col min="19" max="19" width="120.00390625" style="18" hidden="1" customWidth="1"/>
    <col min="20" max="20" width="124.7109375" style="18" hidden="1" customWidth="1"/>
    <col min="21" max="21" width="87.140625" style="18" hidden="1" customWidth="1"/>
    <col min="22" max="22" width="72.421875" style="18" hidden="1" customWidth="1"/>
    <col min="23" max="23" width="131.57421875" style="18" hidden="1" customWidth="1"/>
    <col min="24" max="24" width="95.140625" style="18" hidden="1" customWidth="1"/>
    <col min="25" max="25" width="75.140625" style="18" hidden="1" customWidth="1"/>
    <col min="26" max="26" width="72.8515625" style="18" hidden="1" customWidth="1"/>
    <col min="27" max="27" width="125.28125" style="18" hidden="1" customWidth="1"/>
    <col min="28" max="28" width="132.8515625" style="18" hidden="1" customWidth="1"/>
    <col min="29" max="29" width="73.00390625" style="18" hidden="1" customWidth="1"/>
    <col min="30" max="30" width="4.7109375" style="18" hidden="1" customWidth="1"/>
    <col min="31" max="31" width="33.140625" style="18" customWidth="1"/>
    <col min="32" max="41" width="11.421875" style="18" customWidth="1"/>
    <col min="42" max="255" width="11.421875" style="1" customWidth="1"/>
    <col min="256" max="16384" width="11.28125" style="1" customWidth="1"/>
  </cols>
  <sheetData>
    <row r="1" spans="1:33" ht="36" customHeight="1">
      <c r="A1" s="18"/>
      <c r="B1" s="18"/>
      <c r="C1" s="18"/>
      <c r="D1" s="125"/>
      <c r="E1" s="126"/>
      <c r="F1" s="137" t="s">
        <v>135</v>
      </c>
      <c r="G1" s="115"/>
      <c r="H1" s="116"/>
      <c r="I1" s="116"/>
      <c r="J1" s="117"/>
      <c r="K1" s="135" t="s">
        <v>136</v>
      </c>
      <c r="L1" s="118"/>
      <c r="M1" s="136" t="s">
        <v>137</v>
      </c>
      <c r="N1" s="118"/>
      <c r="O1" s="135" t="s">
        <v>138</v>
      </c>
      <c r="P1" s="119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1"/>
      <c r="AE1" s="122"/>
      <c r="AF1" s="19"/>
      <c r="AG1" s="19"/>
    </row>
    <row r="2" spans="1:31" ht="6.75" customHeight="1">
      <c r="A2" s="18"/>
      <c r="B2" s="18"/>
      <c r="C2" s="18"/>
      <c r="D2" s="125"/>
      <c r="E2" s="125"/>
      <c r="F2" s="128"/>
      <c r="G2" s="129"/>
      <c r="H2" s="129"/>
      <c r="I2" s="129"/>
      <c r="J2" s="129"/>
      <c r="K2" s="128"/>
      <c r="L2" s="129"/>
      <c r="M2" s="128"/>
      <c r="N2" s="129"/>
      <c r="O2" s="128"/>
      <c r="P2" s="123"/>
      <c r="Q2" s="123" t="s">
        <v>0</v>
      </c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30"/>
    </row>
    <row r="3" spans="1:15" ht="12.75">
      <c r="A3" s="18"/>
      <c r="B3" s="18"/>
      <c r="C3" s="18"/>
      <c r="D3" s="18"/>
      <c r="E3" s="18"/>
      <c r="F3" s="18"/>
      <c r="G3" s="18"/>
      <c r="H3" s="23"/>
      <c r="I3" s="18"/>
      <c r="J3" s="18"/>
      <c r="K3" s="18"/>
      <c r="L3" s="18"/>
      <c r="M3" s="18"/>
      <c r="O3" s="20"/>
    </row>
    <row r="4" spans="1:35" ht="12.75">
      <c r="A4" s="18"/>
      <c r="B4" s="18"/>
      <c r="C4" s="18"/>
      <c r="D4" s="18"/>
      <c r="E4" s="18"/>
      <c r="F4" s="18"/>
      <c r="G4" s="18"/>
      <c r="H4" s="23"/>
      <c r="I4" s="18"/>
      <c r="J4" s="18"/>
      <c r="K4" s="18"/>
      <c r="L4" s="18"/>
      <c r="M4" s="18"/>
      <c r="O4" s="20"/>
      <c r="AE4" s="18" t="s">
        <v>15</v>
      </c>
      <c r="AF4" s="19"/>
      <c r="AG4" s="19"/>
      <c r="AH4" s="19"/>
      <c r="AI4" s="19"/>
    </row>
    <row r="5" spans="1:15" ht="12.75">
      <c r="A5" s="18"/>
      <c r="B5" s="18"/>
      <c r="C5" s="18"/>
      <c r="D5" s="18"/>
      <c r="E5" s="18"/>
      <c r="F5" s="18"/>
      <c r="G5" s="18"/>
      <c r="H5" s="22"/>
      <c r="I5" s="18"/>
      <c r="J5" s="18"/>
      <c r="K5" s="18"/>
      <c r="L5" s="18"/>
      <c r="M5" s="18"/>
      <c r="O5" s="20"/>
    </row>
    <row r="6" spans="1:34" ht="12.75">
      <c r="A6" s="18"/>
      <c r="B6" s="18"/>
      <c r="C6" s="18"/>
      <c r="D6" s="18"/>
      <c r="E6" s="18"/>
      <c r="F6" s="18"/>
      <c r="G6" s="18"/>
      <c r="H6" s="22"/>
      <c r="I6" s="18"/>
      <c r="J6" s="18"/>
      <c r="K6" s="18"/>
      <c r="L6" s="18"/>
      <c r="M6" s="18"/>
      <c r="O6" s="20"/>
      <c r="AH6" s="21"/>
    </row>
    <row r="7" spans="1:37" ht="12.75">
      <c r="A7" s="18"/>
      <c r="B7" s="18"/>
      <c r="C7" s="18"/>
      <c r="D7" s="18"/>
      <c r="E7" s="18"/>
      <c r="F7" s="18"/>
      <c r="G7" s="18"/>
      <c r="H7" s="23"/>
      <c r="I7" s="18"/>
      <c r="J7" s="18"/>
      <c r="K7" s="18"/>
      <c r="L7" s="18"/>
      <c r="M7" s="18"/>
      <c r="O7" s="20"/>
      <c r="AH7" s="22"/>
      <c r="AI7" s="23"/>
      <c r="AJ7" s="23"/>
      <c r="AK7" s="23"/>
    </row>
    <row r="8" spans="1:37" ht="12.75">
      <c r="A8" s="18"/>
      <c r="B8" s="18"/>
      <c r="C8" s="18"/>
      <c r="D8" s="127"/>
      <c r="E8" s="25"/>
      <c r="F8" s="25"/>
      <c r="G8" s="24"/>
      <c r="H8" s="24"/>
      <c r="I8" s="18"/>
      <c r="J8" s="18"/>
      <c r="K8" s="18"/>
      <c r="L8" s="18"/>
      <c r="M8" s="18"/>
      <c r="O8" s="20"/>
      <c r="AH8" s="24"/>
      <c r="AI8" s="23"/>
      <c r="AJ8" s="23"/>
      <c r="AK8" s="23"/>
    </row>
    <row r="9" spans="1:37" ht="15.75">
      <c r="A9" s="19"/>
      <c r="B9" s="19"/>
      <c r="C9" s="18"/>
      <c r="D9" s="127"/>
      <c r="E9" s="18"/>
      <c r="F9" s="18"/>
      <c r="G9" s="18"/>
      <c r="H9" s="23"/>
      <c r="I9" s="18"/>
      <c r="J9" s="18"/>
      <c r="K9" s="110" t="s">
        <v>18</v>
      </c>
      <c r="L9" s="18"/>
      <c r="M9" s="18"/>
      <c r="O9" s="20"/>
      <c r="AH9" s="24"/>
      <c r="AI9" s="23"/>
      <c r="AJ9" s="23"/>
      <c r="AK9" s="23"/>
    </row>
    <row r="10" spans="1:37" ht="15.75">
      <c r="A10" s="18"/>
      <c r="B10" s="18"/>
      <c r="C10" s="18"/>
      <c r="D10" s="18"/>
      <c r="E10" s="18"/>
      <c r="F10" s="18"/>
      <c r="G10" s="18"/>
      <c r="H10" s="23"/>
      <c r="I10" s="18"/>
      <c r="J10" s="18"/>
      <c r="K10" s="11" t="s">
        <v>12</v>
      </c>
      <c r="L10" s="18"/>
      <c r="M10" s="18"/>
      <c r="O10" s="20"/>
      <c r="AH10" s="22"/>
      <c r="AI10" s="23"/>
      <c r="AJ10" s="23"/>
      <c r="AK10" s="23"/>
    </row>
    <row r="11" spans="1:37" ht="18.75">
      <c r="A11" s="18"/>
      <c r="B11" s="18"/>
      <c r="C11" s="18"/>
      <c r="D11" s="18"/>
      <c r="E11" s="5"/>
      <c r="F11" s="6" t="s">
        <v>30</v>
      </c>
      <c r="H11" s="4">
        <v>442</v>
      </c>
      <c r="J11" s="18"/>
      <c r="K11" s="12">
        <v>0</v>
      </c>
      <c r="L11" s="18"/>
      <c r="M11" s="18"/>
      <c r="O11" s="20"/>
      <c r="Q11" s="21" t="s">
        <v>11</v>
      </c>
      <c r="R11" s="25">
        <v>6.039</v>
      </c>
      <c r="Y11" s="26"/>
      <c r="AK11" s="23"/>
    </row>
    <row r="12" spans="1:37" ht="15.75">
      <c r="A12" s="18"/>
      <c r="B12" s="18"/>
      <c r="C12" s="18"/>
      <c r="D12" s="18"/>
      <c r="E12" s="18"/>
      <c r="F12" s="18"/>
      <c r="H12" s="23"/>
      <c r="I12" s="18"/>
      <c r="J12" s="18"/>
      <c r="K12" s="13">
        <v>1</v>
      </c>
      <c r="L12" s="18"/>
      <c r="M12" s="18"/>
      <c r="Q12" s="21" t="s">
        <v>10</v>
      </c>
      <c r="R12" s="25">
        <v>6.691</v>
      </c>
      <c r="Y12" s="27"/>
      <c r="AK12" s="23"/>
    </row>
    <row r="13" spans="1:37" ht="15" customHeight="1" thickBot="1">
      <c r="A13" s="23"/>
      <c r="B13" s="23"/>
      <c r="C13" s="23"/>
      <c r="D13" s="23"/>
      <c r="E13" s="23"/>
      <c r="F13" s="23"/>
      <c r="G13" s="2"/>
      <c r="H13" s="23"/>
      <c r="I13" s="24"/>
      <c r="J13" s="23"/>
      <c r="K13" s="14">
        <v>2</v>
      </c>
      <c r="L13" s="23"/>
      <c r="M13" s="18"/>
      <c r="Q13" s="21" t="s">
        <v>14</v>
      </c>
      <c r="R13" s="24">
        <v>6.99</v>
      </c>
      <c r="AK13" s="23"/>
    </row>
    <row r="14" spans="1:37" ht="60.75" customHeight="1" thickBot="1">
      <c r="A14" s="88" t="s">
        <v>1</v>
      </c>
      <c r="B14" s="89" t="s">
        <v>22</v>
      </c>
      <c r="C14" s="90" t="s">
        <v>23</v>
      </c>
      <c r="D14" s="91" t="s">
        <v>19</v>
      </c>
      <c r="E14" s="92" t="s">
        <v>24</v>
      </c>
      <c r="F14" s="92" t="s">
        <v>133</v>
      </c>
      <c r="G14" s="98" t="s">
        <v>25</v>
      </c>
      <c r="H14" s="92" t="s">
        <v>26</v>
      </c>
      <c r="I14" s="93" t="s">
        <v>20</v>
      </c>
      <c r="J14" s="92" t="s">
        <v>29</v>
      </c>
      <c r="K14" s="92" t="s">
        <v>27</v>
      </c>
      <c r="L14" s="91" t="s">
        <v>28</v>
      </c>
      <c r="M14" s="111"/>
      <c r="N14" s="28"/>
      <c r="O14" s="29"/>
      <c r="P14" s="30"/>
      <c r="Q14" s="31" t="s">
        <v>16</v>
      </c>
      <c r="R14" s="32"/>
      <c r="S14" s="30"/>
      <c r="T14" s="31" t="s">
        <v>13</v>
      </c>
      <c r="U14" s="32"/>
      <c r="V14" s="33"/>
      <c r="W14" s="31" t="s">
        <v>2</v>
      </c>
      <c r="X14" s="34"/>
      <c r="Y14" s="33"/>
      <c r="Z14" s="35" t="s">
        <v>3</v>
      </c>
      <c r="AA14" s="35"/>
      <c r="AB14" s="33"/>
      <c r="AC14" s="34" t="s">
        <v>4</v>
      </c>
      <c r="AD14" s="36"/>
      <c r="AK14" s="23"/>
    </row>
    <row r="15" spans="1:37" ht="18.75">
      <c r="A15" s="16">
        <v>-9</v>
      </c>
      <c r="B15" s="94" t="s">
        <v>40</v>
      </c>
      <c r="C15" s="71"/>
      <c r="D15" s="72"/>
      <c r="E15" s="73"/>
      <c r="F15" s="74"/>
      <c r="G15" s="75" t="e">
        <f>((($H$11/16/(2^(1/12)^9))*F15*E15)^2*PI()*(IF(J15="Ferro",$R$11,IF(J15="Ottone",$R$12,IF(J15="Rame",$R$13)))*(((E15-C15)/2)^2+C15*(E15-C15)/2)+(C15^2*0.25*7.85))/((E15-C15)/2+C15*0.5)^2)/(10^9)</f>
        <v>#DIV/0!</v>
      </c>
      <c r="H15" s="76"/>
      <c r="I15" s="77" t="e">
        <f aca="true" t="shared" si="0" ref="I15:I23">G15*H15</f>
        <v>#DIV/0!</v>
      </c>
      <c r="J15" s="73" t="s">
        <v>134</v>
      </c>
      <c r="K15" s="78"/>
      <c r="L15" s="70" t="e">
        <f aca="true" t="shared" si="1" ref="L15:L46">100/(IF($K15="XM",VLOOKUP(C15,$Q$16:$R$33,2),IF($K15="M",VLOOKUP(C15,$T$16:$U$47,2),IF($K15=0,VLOOKUP(C15,$W$16:$X$47,2),IF($K15=1,VLOOKUP(C15,$Z$16:$AA$50,2),IF($K15=2,VLOOKUP(C15,$AC$16:$AD$53,2)))))))*G15</f>
        <v>#N/A</v>
      </c>
      <c r="M15" s="112"/>
      <c r="O15" s="37"/>
      <c r="P15" s="33" t="s">
        <v>1</v>
      </c>
      <c r="Q15" s="38" t="s">
        <v>17</v>
      </c>
      <c r="R15" s="39" t="s">
        <v>5</v>
      </c>
      <c r="S15" s="33" t="s">
        <v>1</v>
      </c>
      <c r="T15" s="38" t="s">
        <v>9</v>
      </c>
      <c r="U15" s="39" t="s">
        <v>5</v>
      </c>
      <c r="V15" s="40" t="s">
        <v>1</v>
      </c>
      <c r="W15" s="41" t="s">
        <v>6</v>
      </c>
      <c r="X15" s="34" t="s">
        <v>5</v>
      </c>
      <c r="Y15" s="42" t="s">
        <v>1</v>
      </c>
      <c r="Z15" s="34" t="s">
        <v>7</v>
      </c>
      <c r="AA15" s="34" t="s">
        <v>5</v>
      </c>
      <c r="AB15" s="33" t="s">
        <v>1</v>
      </c>
      <c r="AC15" s="41" t="s">
        <v>8</v>
      </c>
      <c r="AD15" s="39" t="s">
        <v>5</v>
      </c>
      <c r="AK15" s="23"/>
    </row>
    <row r="16" spans="1:37" ht="18.75">
      <c r="A16" s="15">
        <v>-8</v>
      </c>
      <c r="B16" s="94" t="s">
        <v>39</v>
      </c>
      <c r="C16" s="71"/>
      <c r="D16" s="72"/>
      <c r="E16" s="73"/>
      <c r="F16" s="79"/>
      <c r="G16" s="75" t="e">
        <f>((($H$11/16/(2^(1/12)^8))*F16*E16)^2*PI()*(IF(J16="Ferro",$R$11,IF(J16="Ottone",$R$12,IF(J16="Rame",$R$13)))*(((E16-C16)/2)^2+C16*(E16-C16)/2)+(C16^2*0.25*7.85))/((E16-C16)/2+C16*0.5)^2)/(10^9)</f>
        <v>#DIV/0!</v>
      </c>
      <c r="H16" s="76"/>
      <c r="I16" s="77" t="e">
        <f t="shared" si="0"/>
        <v>#DIV/0!</v>
      </c>
      <c r="J16" s="73" t="s">
        <v>134</v>
      </c>
      <c r="K16" s="78"/>
      <c r="L16" s="70" t="e">
        <f t="shared" si="1"/>
        <v>#N/A</v>
      </c>
      <c r="M16" s="18"/>
      <c r="N16" s="29"/>
      <c r="O16" s="29"/>
      <c r="P16" s="43">
        <v>13</v>
      </c>
      <c r="Q16" s="44">
        <v>0.775</v>
      </c>
      <c r="R16" s="113">
        <v>1048.4465424887253</v>
      </c>
      <c r="S16" s="43">
        <v>11</v>
      </c>
      <c r="T16" s="44">
        <v>0.675</v>
      </c>
      <c r="U16" s="45">
        <v>667.3399953594252</v>
      </c>
      <c r="V16" s="44">
        <v>11</v>
      </c>
      <c r="W16" s="44">
        <v>0.675</v>
      </c>
      <c r="X16" s="45">
        <v>593.3998510917712</v>
      </c>
      <c r="Y16" s="43">
        <v>9</v>
      </c>
      <c r="Z16" s="24">
        <v>0.575</v>
      </c>
      <c r="AA16" s="46">
        <v>373.92806559352505</v>
      </c>
      <c r="AB16" s="25">
        <v>5</v>
      </c>
      <c r="AC16" s="47">
        <v>0.4</v>
      </c>
      <c r="AD16" s="46">
        <v>157.99992099999997</v>
      </c>
      <c r="AG16" s="48"/>
      <c r="AK16" s="23"/>
    </row>
    <row r="17" spans="1:37" ht="18.75">
      <c r="A17" s="15">
        <v>-7</v>
      </c>
      <c r="B17" s="94" t="s">
        <v>38</v>
      </c>
      <c r="C17" s="71"/>
      <c r="D17" s="72"/>
      <c r="E17" s="73"/>
      <c r="F17" s="79"/>
      <c r="G17" s="75" t="e">
        <f>((($H$11/16/(2^(1/12)^7))*F17*E17)^2*PI()*(IF(J17="Ferro",$R$11,IF(J17="Ottone",$R$12,IF(J17="Rame",$R$13)))*(((E17-C17)/2)^2+C17*(E17-C17)/2)+(C17^2*0.25*7.85))/((E17-C17)/2+C17*0.5)^2)/(10^9)</f>
        <v>#DIV/0!</v>
      </c>
      <c r="H17" s="76"/>
      <c r="I17" s="77" t="e">
        <f t="shared" si="0"/>
        <v>#DIV/0!</v>
      </c>
      <c r="J17" s="73" t="s">
        <v>134</v>
      </c>
      <c r="K17" s="78"/>
      <c r="L17" s="70" t="e">
        <f t="shared" si="1"/>
        <v>#N/A</v>
      </c>
      <c r="M17" s="18"/>
      <c r="N17" s="29"/>
      <c r="O17" s="29"/>
      <c r="P17" s="43">
        <v>13.5</v>
      </c>
      <c r="Q17" s="44">
        <v>0.8</v>
      </c>
      <c r="R17" s="113">
        <v>1087.8267217879234</v>
      </c>
      <c r="S17" s="43">
        <v>11.5</v>
      </c>
      <c r="T17" s="44">
        <v>0.7</v>
      </c>
      <c r="U17" s="45">
        <v>713.3584986075215</v>
      </c>
      <c r="V17" s="44">
        <v>11.5</v>
      </c>
      <c r="W17" s="44">
        <v>0.7</v>
      </c>
      <c r="X17" s="45">
        <v>633.551245981594</v>
      </c>
      <c r="Y17" s="43">
        <v>9.5</v>
      </c>
      <c r="Z17" s="24">
        <v>0.6</v>
      </c>
      <c r="AA17" s="45">
        <v>402.90925782289094</v>
      </c>
      <c r="AB17" s="25">
        <v>5.5</v>
      </c>
      <c r="AC17" s="44">
        <v>0.425</v>
      </c>
      <c r="AD17" s="45">
        <v>176.9999115</v>
      </c>
      <c r="AG17" s="48"/>
      <c r="AK17" s="23"/>
    </row>
    <row r="18" spans="1:37" ht="18.75">
      <c r="A18" s="15">
        <v>-6</v>
      </c>
      <c r="B18" s="94" t="s">
        <v>37</v>
      </c>
      <c r="C18" s="71"/>
      <c r="D18" s="72"/>
      <c r="E18" s="73"/>
      <c r="F18" s="79"/>
      <c r="G18" s="75" t="e">
        <f>((($H$11/16/(2^(1/12)^6))*F18*E18)^2*PI()*(IF(J18="Ferro",$R$11,IF(J18="Ottone",$R$12,IF(J18="Rame",$R$13)))*(((E18-C18)/2)^2+C18*(E18-C18)/2)+(C18^2*0.25*7.85))/((E18-C18)/2+C18*0.5)^2)/(10^9)</f>
        <v>#DIV/0!</v>
      </c>
      <c r="H18" s="76"/>
      <c r="I18" s="77" t="e">
        <f t="shared" si="0"/>
        <v>#DIV/0!</v>
      </c>
      <c r="J18" s="73" t="s">
        <v>134</v>
      </c>
      <c r="K18" s="78"/>
      <c r="L18" s="70" t="e">
        <f t="shared" si="1"/>
        <v>#N/A</v>
      </c>
      <c r="M18" s="18"/>
      <c r="N18" s="49"/>
      <c r="O18" s="29"/>
      <c r="P18" s="43">
        <v>14</v>
      </c>
      <c r="Q18" s="44">
        <v>0.825</v>
      </c>
      <c r="R18" s="113">
        <v>1154.0116359688036</v>
      </c>
      <c r="S18" s="43">
        <v>12</v>
      </c>
      <c r="T18" s="44">
        <v>0.725</v>
      </c>
      <c r="U18" s="45">
        <v>762.2811956424748</v>
      </c>
      <c r="V18" s="44">
        <v>12</v>
      </c>
      <c r="W18" s="44">
        <v>0.725</v>
      </c>
      <c r="X18" s="45">
        <v>674.6591085722797</v>
      </c>
      <c r="Y18" s="43">
        <v>10</v>
      </c>
      <c r="Z18" s="24">
        <v>0.625</v>
      </c>
      <c r="AA18" s="45">
        <v>432.5825821837508</v>
      </c>
      <c r="AB18" s="24">
        <v>6</v>
      </c>
      <c r="AC18" s="44">
        <v>0.45</v>
      </c>
      <c r="AD18" s="45">
        <v>196.9999015</v>
      </c>
      <c r="AG18" s="48"/>
      <c r="AK18" s="23"/>
    </row>
    <row r="19" spans="1:37" ht="18.75">
      <c r="A19" s="15">
        <v>-5</v>
      </c>
      <c r="B19" s="94" t="s">
        <v>36</v>
      </c>
      <c r="C19" s="71"/>
      <c r="D19" s="72"/>
      <c r="E19" s="73"/>
      <c r="F19" s="79"/>
      <c r="G19" s="75" t="e">
        <f>((($H$11/16/(2^(1/12)^5))*F19*E19)^2*PI()*(IF(J19="Ferro",$R$11,IF(J19="Ottone",$R$12,IF(J19="Rame",$R$13)))*(((E19-C19)/2)^2+C19*(E19-C19)/2)+(C19^2*0.25*7.85))/((E19-C19)/2+C19*0.5)^2)/(10^9)</f>
        <v>#DIV/0!</v>
      </c>
      <c r="H19" s="76"/>
      <c r="I19" s="77" t="e">
        <f t="shared" si="0"/>
        <v>#DIV/0!</v>
      </c>
      <c r="J19" s="73" t="s">
        <v>134</v>
      </c>
      <c r="K19" s="78"/>
      <c r="L19" s="70" t="e">
        <f t="shared" si="1"/>
        <v>#N/A</v>
      </c>
      <c r="M19" s="18"/>
      <c r="N19" s="37"/>
      <c r="O19" s="37"/>
      <c r="P19" s="43">
        <v>14.5</v>
      </c>
      <c r="Q19" s="44">
        <v>0.85</v>
      </c>
      <c r="R19" s="113">
        <v>1197.5397520873835</v>
      </c>
      <c r="S19" s="43">
        <v>12.5</v>
      </c>
      <c r="T19" s="44">
        <v>0.75</v>
      </c>
      <c r="U19" s="45">
        <v>810.7886133985314</v>
      </c>
      <c r="V19" s="44">
        <v>12.5</v>
      </c>
      <c r="W19" s="44">
        <v>0.75</v>
      </c>
      <c r="X19" s="45">
        <v>716.6880959464746</v>
      </c>
      <c r="Y19" s="43">
        <v>10.5</v>
      </c>
      <c r="Z19" s="24">
        <v>0.65</v>
      </c>
      <c r="AA19" s="45">
        <v>462.9038600294136</v>
      </c>
      <c r="AB19" s="24">
        <v>6.5</v>
      </c>
      <c r="AC19" s="44">
        <v>0.475</v>
      </c>
      <c r="AD19" s="45">
        <v>216.99989149999996</v>
      </c>
      <c r="AG19" s="37"/>
      <c r="AK19" s="23"/>
    </row>
    <row r="20" spans="1:37" ht="18.75">
      <c r="A20" s="15">
        <v>-4</v>
      </c>
      <c r="B20" s="94" t="s">
        <v>35</v>
      </c>
      <c r="C20" s="71"/>
      <c r="D20" s="72"/>
      <c r="E20" s="73"/>
      <c r="F20" s="79"/>
      <c r="G20" s="75" t="e">
        <f>((($H$11/16/(2^(1/12)^4))*F20*E20)^2*PI()*(IF(J20="Ferro",$R$11,IF(J20="Ottone",$R$12,IF(J20="Rame",$R$13)))*(((E20-C20)/2)^2+C20*(E20-C20)/2)+(C20^2*0.25*7.85))/((E20-C20)/2+C20*0.5)^2)/(10^9)</f>
        <v>#DIV/0!</v>
      </c>
      <c r="H20" s="76"/>
      <c r="I20" s="77" t="e">
        <f t="shared" si="0"/>
        <v>#DIV/0!</v>
      </c>
      <c r="J20" s="73" t="s">
        <v>134</v>
      </c>
      <c r="K20" s="78"/>
      <c r="L20" s="70" t="e">
        <f t="shared" si="1"/>
        <v>#N/A</v>
      </c>
      <c r="M20" s="18"/>
      <c r="N20" s="29"/>
      <c r="O20" s="29"/>
      <c r="P20" s="43">
        <v>15</v>
      </c>
      <c r="Q20" s="44">
        <v>0.875</v>
      </c>
      <c r="R20" s="113">
        <v>1354.351085391149</v>
      </c>
      <c r="S20" s="43">
        <v>13</v>
      </c>
      <c r="T20" s="44">
        <v>0.775</v>
      </c>
      <c r="U20" s="45">
        <v>862.2040905730303</v>
      </c>
      <c r="V20" s="44">
        <v>13</v>
      </c>
      <c r="W20" s="44">
        <v>0.775</v>
      </c>
      <c r="X20" s="45">
        <v>759.6028651868265</v>
      </c>
      <c r="Y20" s="43">
        <v>11</v>
      </c>
      <c r="Z20" s="24">
        <v>0.675</v>
      </c>
      <c r="AA20" s="45">
        <v>493.8289127131881</v>
      </c>
      <c r="AB20" s="24">
        <v>7</v>
      </c>
      <c r="AC20" s="44">
        <v>0.5</v>
      </c>
      <c r="AD20" s="45">
        <v>237.99988099999996</v>
      </c>
      <c r="AG20" s="37"/>
      <c r="AK20" s="23"/>
    </row>
    <row r="21" spans="1:37" ht="18.75">
      <c r="A21" s="15">
        <v>-3</v>
      </c>
      <c r="B21" s="94" t="s">
        <v>34</v>
      </c>
      <c r="C21" s="71"/>
      <c r="D21" s="72"/>
      <c r="E21" s="73"/>
      <c r="F21" s="79"/>
      <c r="G21" s="75" t="e">
        <f>((($H$11/16/(2^(1/12)^3))*F21*E21)^2*PI()*(IF(J21="Ferro",$R$11,IF(J21="Ottone",$R$12,IF(J21="Rame",$R$13)))*(((E21-C21)/2)^2+C21*(E21-C21)/2)+(C21^2*0.25*7.85))/((E21-C21)/2+C21*0.5)^2)/(10^9)</f>
        <v>#DIV/0!</v>
      </c>
      <c r="H21" s="76"/>
      <c r="I21" s="77" t="e">
        <f t="shared" si="0"/>
        <v>#DIV/0!</v>
      </c>
      <c r="J21" s="73" t="s">
        <v>134</v>
      </c>
      <c r="K21" s="78"/>
      <c r="L21" s="70" t="e">
        <f t="shared" si="1"/>
        <v>#N/A</v>
      </c>
      <c r="M21" s="18"/>
      <c r="N21" s="29"/>
      <c r="O21" s="29"/>
      <c r="P21" s="43">
        <v>15.5</v>
      </c>
      <c r="Q21" s="44">
        <v>0.9</v>
      </c>
      <c r="R21" s="113">
        <v>1384.5006482002314</v>
      </c>
      <c r="S21" s="43">
        <v>13.5</v>
      </c>
      <c r="T21" s="44">
        <v>0.8</v>
      </c>
      <c r="U21" s="45">
        <v>914.9574444314914</v>
      </c>
      <c r="V21" s="44">
        <v>13.5</v>
      </c>
      <c r="W21" s="44">
        <v>0.8</v>
      </c>
      <c r="X21" s="45">
        <v>803.368073375982</v>
      </c>
      <c r="Y21" s="43">
        <v>11.5</v>
      </c>
      <c r="Z21" s="24">
        <v>0.7</v>
      </c>
      <c r="AA21" s="45">
        <v>525.3135615883832</v>
      </c>
      <c r="AB21" s="43">
        <v>8</v>
      </c>
      <c r="AC21" s="44">
        <v>0.525</v>
      </c>
      <c r="AD21" s="45">
        <v>260.99986949999993</v>
      </c>
      <c r="AG21" s="37"/>
      <c r="AK21" s="23"/>
    </row>
    <row r="22" spans="1:37" ht="18.75">
      <c r="A22" s="15">
        <v>-2</v>
      </c>
      <c r="B22" s="94" t="s">
        <v>33</v>
      </c>
      <c r="C22" s="71"/>
      <c r="D22" s="72"/>
      <c r="E22" s="73"/>
      <c r="F22" s="79"/>
      <c r="G22" s="75" t="e">
        <f>((($H$11/16/(2^(1/12)^2)*F22*E22)^2*PI()*(IF(J22="Ferro",$R$11,IF(J22="Ottone",$R$12,IF(J22="Rame",$R$13)))*(((E22-C22)/2)^2+C22*(E22-C22)/2)+(C22^2*0.25*7.85))/((E22-C22)/2+C22*0.5)^2)/(10^9))</f>
        <v>#DIV/0!</v>
      </c>
      <c r="H22" s="76"/>
      <c r="I22" s="77" t="e">
        <f t="shared" si="0"/>
        <v>#DIV/0!</v>
      </c>
      <c r="J22" s="73" t="s">
        <v>134</v>
      </c>
      <c r="K22" s="78"/>
      <c r="L22" s="70" t="e">
        <f t="shared" si="1"/>
        <v>#N/A</v>
      </c>
      <c r="M22" s="18"/>
      <c r="N22" s="29"/>
      <c r="O22" s="29"/>
      <c r="P22" s="43">
        <v>16</v>
      </c>
      <c r="Q22" s="44">
        <v>0.925</v>
      </c>
      <c r="R22" s="113">
        <v>1421.5705346231491</v>
      </c>
      <c r="S22" s="43">
        <v>14</v>
      </c>
      <c r="T22" s="44">
        <v>0.825</v>
      </c>
      <c r="U22" s="45">
        <v>969.2270462599299</v>
      </c>
      <c r="V22" s="44">
        <v>14</v>
      </c>
      <c r="W22" s="44">
        <v>0.825</v>
      </c>
      <c r="X22" s="45">
        <v>847.9483775965881</v>
      </c>
      <c r="Y22" s="43">
        <v>12</v>
      </c>
      <c r="Z22" s="24">
        <v>0.725</v>
      </c>
      <c r="AA22" s="45">
        <v>557.3136280083081</v>
      </c>
      <c r="AB22" s="43">
        <v>8.5</v>
      </c>
      <c r="AC22" s="44">
        <v>0.55</v>
      </c>
      <c r="AD22" s="45">
        <v>282.99985849999996</v>
      </c>
      <c r="AG22" s="37"/>
      <c r="AK22" s="23"/>
    </row>
    <row r="23" spans="1:37" ht="18.75">
      <c r="A23" s="15">
        <v>-1</v>
      </c>
      <c r="B23" s="94" t="s">
        <v>32</v>
      </c>
      <c r="C23" s="71"/>
      <c r="D23" s="72"/>
      <c r="E23" s="73"/>
      <c r="F23" s="102"/>
      <c r="G23" s="75" t="e">
        <f>((($H$11/16/(2^(1/12)))*F23*E23)^2*PI()*(IF(J23="Ferro",$R$11,IF(J23="Ottone",$R$12,IF(J23="Rame",$R$13)))*(((E23-C23)/2)^2+C23*(E23-C23)/2)+(C23^2*0.25*7.85))/((E23-C23)/2+C23*0.5)^2)/(10^9)</f>
        <v>#DIV/0!</v>
      </c>
      <c r="H23" s="76"/>
      <c r="I23" s="77" t="e">
        <f t="shared" si="0"/>
        <v>#DIV/0!</v>
      </c>
      <c r="J23" s="73" t="s">
        <v>134</v>
      </c>
      <c r="K23" s="78"/>
      <c r="L23" s="70" t="e">
        <f t="shared" si="1"/>
        <v>#N/A</v>
      </c>
      <c r="M23" s="18"/>
      <c r="N23" s="29"/>
      <c r="O23" s="29"/>
      <c r="P23" s="43">
        <v>16.5</v>
      </c>
      <c r="Q23" s="44">
        <v>0.95</v>
      </c>
      <c r="R23" s="113">
        <v>1514.4155869750916</v>
      </c>
      <c r="S23" s="43">
        <v>14.5</v>
      </c>
      <c r="T23" s="44">
        <v>0.85</v>
      </c>
      <c r="U23" s="45">
        <v>1020.7719300536947</v>
      </c>
      <c r="V23" s="44">
        <v>14.5</v>
      </c>
      <c r="W23" s="44">
        <v>0.85</v>
      </c>
      <c r="X23" s="45">
        <v>893.3084349312926</v>
      </c>
      <c r="Y23" s="43">
        <v>12.5</v>
      </c>
      <c r="Z23" s="24">
        <v>0.75</v>
      </c>
      <c r="AA23" s="45">
        <v>589.7849333262714</v>
      </c>
      <c r="AB23" s="43">
        <v>9</v>
      </c>
      <c r="AC23" s="44">
        <v>0.575</v>
      </c>
      <c r="AD23" s="45">
        <v>306.9998465</v>
      </c>
      <c r="AG23" s="37"/>
      <c r="AK23" s="23"/>
    </row>
    <row r="24" spans="1:37" ht="18.75">
      <c r="A24" s="7">
        <v>1</v>
      </c>
      <c r="B24" s="97" t="s">
        <v>31</v>
      </c>
      <c r="C24" s="103">
        <v>1.6</v>
      </c>
      <c r="D24" s="99"/>
      <c r="E24" s="103">
        <v>4.5</v>
      </c>
      <c r="F24" s="104">
        <v>2013</v>
      </c>
      <c r="G24" s="80">
        <f>((($H$11/16)*F24*E24)^2*PI()*(IF(J24="Ferro",$R$11,IF(J24="Ottone",$R$12,IF(J24="Rame",$R$13)))*(((E24-C24)/2)^2+C24*(E24-C24)/2)+(C24^2*0.25*7.85))/((E24-C24)/2+C24*0.5)^2)/(10^9)</f>
        <v>1396.5199048214963</v>
      </c>
      <c r="H24" s="81">
        <v>1</v>
      </c>
      <c r="I24" s="82"/>
      <c r="J24" s="83" t="s">
        <v>134</v>
      </c>
      <c r="K24" s="84">
        <v>0</v>
      </c>
      <c r="L24" s="17">
        <f t="shared" si="1"/>
        <v>53.500636909918235</v>
      </c>
      <c r="M24" s="18"/>
      <c r="N24" s="29"/>
      <c r="O24" s="29"/>
      <c r="P24" s="43">
        <v>17</v>
      </c>
      <c r="Q24" s="44">
        <v>0.975</v>
      </c>
      <c r="R24" s="113">
        <v>1605.977746650433</v>
      </c>
      <c r="S24" s="43">
        <v>15</v>
      </c>
      <c r="T24" s="44">
        <v>0.875</v>
      </c>
      <c r="U24" s="45">
        <v>1077.190454888267</v>
      </c>
      <c r="V24" s="44">
        <v>15</v>
      </c>
      <c r="W24" s="44">
        <v>0.875</v>
      </c>
      <c r="X24" s="45">
        <v>939.4129024627423</v>
      </c>
      <c r="Y24" s="43">
        <v>13</v>
      </c>
      <c r="Z24" s="24">
        <v>0.775</v>
      </c>
      <c r="AA24" s="45">
        <v>622.6832988955821</v>
      </c>
      <c r="AB24" s="43">
        <v>9.5</v>
      </c>
      <c r="AC24" s="44">
        <v>0.6</v>
      </c>
      <c r="AD24" s="45">
        <v>330.99983449999996</v>
      </c>
      <c r="AG24" s="37"/>
      <c r="AK24" s="23"/>
    </row>
    <row r="25" spans="1:37" ht="18.75">
      <c r="A25" s="7">
        <v>2</v>
      </c>
      <c r="B25" s="97" t="s">
        <v>41</v>
      </c>
      <c r="C25" s="103">
        <v>1.6</v>
      </c>
      <c r="D25" s="99"/>
      <c r="E25" s="103">
        <v>4.35</v>
      </c>
      <c r="F25" s="104">
        <v>2007</v>
      </c>
      <c r="G25" s="80">
        <f>(((2^(1/12)*$H$11/16)*F25*E25)^2*PI()*(IF(J25="Ferro",$R$11,IF(J25="Ottone",$R$12,IF(J25="Rame",$R$13)))*(((E25-C25)/2)^2+C25*(E25-C25)/2)+(C25^2*0.25*7.85))/((E25-C25)/2+C25*0.5)^2)/(10^9)</f>
        <v>1457.6251671667171</v>
      </c>
      <c r="H25" s="81">
        <v>1</v>
      </c>
      <c r="I25" s="82"/>
      <c r="J25" s="83" t="s">
        <v>134</v>
      </c>
      <c r="K25" s="84">
        <v>0</v>
      </c>
      <c r="L25" s="17">
        <f>100/(IF($K25="XM",VLOOKUP(C25,$Q$16:$R$33,2),IF($K25="M",VLOOKUP(C25,$T$16:$U$47,2),IF($K25=0,VLOOKUP(C25,$W$16:$X$47,2),IF($K25=1,VLOOKUP(C25,$Z$16:$AA$50,2),IF($K25=2,VLOOKUP(C25,$AC$16:$AD$53,2)))))))*G25</f>
        <v>55.84157773197893</v>
      </c>
      <c r="M25" s="18"/>
      <c r="N25" s="29"/>
      <c r="O25" s="29"/>
      <c r="P25" s="43">
        <v>17.5</v>
      </c>
      <c r="Q25" s="44">
        <v>1</v>
      </c>
      <c r="R25" s="113">
        <v>1669.9528449238244</v>
      </c>
      <c r="S25" s="43">
        <v>15.5</v>
      </c>
      <c r="T25" s="44">
        <v>0.9</v>
      </c>
      <c r="U25" s="45">
        <v>1134.8522404718046</v>
      </c>
      <c r="V25" s="44">
        <v>15.5</v>
      </c>
      <c r="W25" s="44">
        <v>0.9</v>
      </c>
      <c r="X25" s="45">
        <v>986.2264372735845</v>
      </c>
      <c r="Y25" s="43">
        <v>13.5</v>
      </c>
      <c r="Z25" s="24">
        <v>0.8</v>
      </c>
      <c r="AA25" s="45">
        <v>655.9645460695489</v>
      </c>
      <c r="AB25" s="43">
        <v>10</v>
      </c>
      <c r="AC25" s="44">
        <v>0.625</v>
      </c>
      <c r="AD25" s="45">
        <v>355.99982199999994</v>
      </c>
      <c r="AG25" s="37"/>
      <c r="AK25" s="23"/>
    </row>
    <row r="26" spans="1:39" ht="18.75">
      <c r="A26" s="7">
        <v>3</v>
      </c>
      <c r="B26" s="97" t="s">
        <v>42</v>
      </c>
      <c r="C26" s="103">
        <v>1.6</v>
      </c>
      <c r="D26" s="99"/>
      <c r="E26" s="103">
        <v>4.15</v>
      </c>
      <c r="F26" s="104">
        <v>2000</v>
      </c>
      <c r="G26" s="80">
        <f>(((2^(1/12)^2*$H$11/16)*F26*E26)^2*PI()*(IF(J26="Ferro",$R$11,IF(J26="Ottone",$R$12,IF(J26="Rame",$R$13)))*(((E26-C26)/2)^2+C26*(E26-C26)/2)+(C26^2*0.25*7.85))/((E26-C26)/2+C26*0.5)^2)/(10^9)</f>
        <v>1481.1592099674447</v>
      </c>
      <c r="H26" s="81">
        <v>1</v>
      </c>
      <c r="I26" s="82"/>
      <c r="J26" s="83" t="s">
        <v>134</v>
      </c>
      <c r="K26" s="84">
        <v>0</v>
      </c>
      <c r="L26" s="17">
        <f>100/(IF($K26="XM",VLOOKUP(C26,$Q$16:$R$33,2),IF($K26="M",VLOOKUP(C26,$T$16:$U$47,2),IF($K26=0,VLOOKUP(C26,$W$16:$X$47,2),IF($K26=1,VLOOKUP(C26,$Z$16:$AA$50,2),IF($K26=2,VLOOKUP(C26,$AC$16:$AD$53,2)))))))*G26</f>
        <v>56.74316622674882</v>
      </c>
      <c r="M26" s="18"/>
      <c r="N26" s="37"/>
      <c r="O26" s="37"/>
      <c r="P26" s="43">
        <v>18</v>
      </c>
      <c r="Q26" s="44">
        <v>1.025</v>
      </c>
      <c r="R26" s="113">
        <v>1716.743185945153</v>
      </c>
      <c r="S26" s="43">
        <v>16</v>
      </c>
      <c r="T26" s="44">
        <v>0.925</v>
      </c>
      <c r="U26" s="45">
        <v>1193.9871998447964</v>
      </c>
      <c r="V26" s="44">
        <v>16</v>
      </c>
      <c r="W26" s="44">
        <v>0.925</v>
      </c>
      <c r="X26" s="45">
        <v>1033.7136964464657</v>
      </c>
      <c r="Y26" s="43">
        <v>14</v>
      </c>
      <c r="Z26" s="24">
        <v>0.825</v>
      </c>
      <c r="AA26" s="45">
        <v>689.5844962014806</v>
      </c>
      <c r="AB26" s="43">
        <v>10.5</v>
      </c>
      <c r="AC26" s="44">
        <v>0.65</v>
      </c>
      <c r="AD26" s="45">
        <v>380.9998094999999</v>
      </c>
      <c r="AG26" s="37"/>
      <c r="AK26" s="23"/>
      <c r="AM26" s="114"/>
    </row>
    <row r="27" spans="1:37" ht="18.75">
      <c r="A27" s="7">
        <v>4</v>
      </c>
      <c r="B27" s="97" t="s">
        <v>43</v>
      </c>
      <c r="C27" s="103">
        <v>1.6</v>
      </c>
      <c r="D27" s="99"/>
      <c r="E27" s="103">
        <v>4.025</v>
      </c>
      <c r="F27" s="104">
        <v>1990</v>
      </c>
      <c r="G27" s="80">
        <f>(((2^(1/12)^3*$H$11/16)*F27*E27)^2*PI()*(IF(J27="Ferro",$R$11,IF(J27="Ottone",$R$12,IF(J27="Rame",$R$13)))*(((E27-C27)/2)^2+C27*(E27-C27)/2)+(C27^2*0.25*7.85))/((E27-C27)/2+C27*0.5)^2)/(10^9)</f>
        <v>1550.0540612049224</v>
      </c>
      <c r="H27" s="81">
        <v>1</v>
      </c>
      <c r="I27" s="82"/>
      <c r="J27" s="83" t="s">
        <v>134</v>
      </c>
      <c r="K27" s="84">
        <v>0</v>
      </c>
      <c r="L27" s="17">
        <f t="shared" si="1"/>
        <v>59.38252597256659</v>
      </c>
      <c r="M27" s="18"/>
      <c r="N27" s="37"/>
      <c r="O27" s="37"/>
      <c r="P27" s="43">
        <v>18.5</v>
      </c>
      <c r="Q27" s="44">
        <v>1.05</v>
      </c>
      <c r="R27" s="113">
        <v>1771.6344181480752</v>
      </c>
      <c r="S27" s="43">
        <v>16.5</v>
      </c>
      <c r="T27" s="44">
        <v>0.95</v>
      </c>
      <c r="U27" s="45">
        <v>1256.7411266925674</v>
      </c>
      <c r="V27" s="44">
        <v>16.5</v>
      </c>
      <c r="W27" s="44">
        <v>0.95</v>
      </c>
      <c r="X27" s="45">
        <v>1081.8393370640333</v>
      </c>
      <c r="Y27" s="43">
        <v>14.5</v>
      </c>
      <c r="Z27" s="24">
        <v>0.85</v>
      </c>
      <c r="AA27" s="45">
        <v>723.4989706446868</v>
      </c>
      <c r="AB27" s="43">
        <v>11</v>
      </c>
      <c r="AC27" s="44">
        <v>0.675</v>
      </c>
      <c r="AD27" s="45">
        <v>406.99979649999995</v>
      </c>
      <c r="AG27" s="37"/>
      <c r="AK27" s="23"/>
    </row>
    <row r="28" spans="1:37" ht="18.75">
      <c r="A28" s="7">
        <v>5</v>
      </c>
      <c r="B28" s="97" t="s">
        <v>44</v>
      </c>
      <c r="C28" s="103">
        <v>1.6</v>
      </c>
      <c r="D28" s="99"/>
      <c r="E28" s="103">
        <v>3.7</v>
      </c>
      <c r="F28" s="104">
        <v>1977</v>
      </c>
      <c r="G28" s="80">
        <f>(((2^(1/12)^4*$H$11/16)*F28*E28)^2*PI()*(IF(J28="Ferro",$R$11,IF(J28="Ottone",$R$12,IF(J28="Rame",$R$13)))*(((E28-C28)/2)^2+C28*(E28-C28)/2)+(C28^2*0.25*7.85))/((E28-C28)/2+C28*0.5)^2)/(10^9)</f>
        <v>1456.1751931590002</v>
      </c>
      <c r="H28" s="81">
        <v>1</v>
      </c>
      <c r="I28" s="82"/>
      <c r="J28" s="83" t="s">
        <v>134</v>
      </c>
      <c r="K28" s="84">
        <v>0</v>
      </c>
      <c r="L28" s="17">
        <f t="shared" si="1"/>
        <v>55.786029269942794</v>
      </c>
      <c r="M28" s="18"/>
      <c r="N28" s="29"/>
      <c r="O28" s="29"/>
      <c r="P28" s="43">
        <v>19</v>
      </c>
      <c r="Q28" s="44">
        <v>1.075</v>
      </c>
      <c r="R28" s="113">
        <v>1842.0264648533494</v>
      </c>
      <c r="S28" s="43">
        <v>17</v>
      </c>
      <c r="T28" s="44">
        <v>0.975</v>
      </c>
      <c r="U28" s="45">
        <v>1315.636232829565</v>
      </c>
      <c r="V28" s="44">
        <v>17</v>
      </c>
      <c r="W28" s="44">
        <v>0.975</v>
      </c>
      <c r="X28" s="45">
        <v>1130.5680162089345</v>
      </c>
      <c r="Y28" s="43">
        <v>15</v>
      </c>
      <c r="Z28" s="24">
        <v>0.875</v>
      </c>
      <c r="AA28" s="45">
        <v>757.6637907524758</v>
      </c>
      <c r="AB28" s="43">
        <v>11.5</v>
      </c>
      <c r="AC28" s="44">
        <v>0.7</v>
      </c>
      <c r="AD28" s="45">
        <v>432.9997835</v>
      </c>
      <c r="AG28" s="37"/>
      <c r="AK28" s="23"/>
    </row>
    <row r="29" spans="1:37" ht="18.75">
      <c r="A29" s="7">
        <v>6</v>
      </c>
      <c r="B29" s="97" t="s">
        <v>45</v>
      </c>
      <c r="C29" s="103">
        <v>1.6</v>
      </c>
      <c r="D29" s="99"/>
      <c r="E29" s="103">
        <v>3.6</v>
      </c>
      <c r="F29" s="104">
        <v>1960</v>
      </c>
      <c r="G29" s="80">
        <f>(((2^(1/12)^5*$H$11/16)*F29*E29)^2*PI()*(IF(J29="Ferro",$R$11,IF(J29="Ottone",$R$12,IF(J29="Rame",$R$13)))*(((E29-C29)/2)^2+C29*(E29-C29)/2)+(C29^2*0.25*7.85))/((E29-C29)/2+C29*0.5)^2)/(10^9)</f>
        <v>1522.7740032327908</v>
      </c>
      <c r="H29" s="81">
        <v>1</v>
      </c>
      <c r="I29" s="82"/>
      <c r="J29" s="83" t="s">
        <v>134</v>
      </c>
      <c r="K29" s="84">
        <v>0</v>
      </c>
      <c r="L29" s="17">
        <f t="shared" si="1"/>
        <v>58.33742774560284</v>
      </c>
      <c r="M29" s="18"/>
      <c r="N29" s="29"/>
      <c r="O29" s="29"/>
      <c r="P29" s="43">
        <v>19.5</v>
      </c>
      <c r="Q29" s="44">
        <v>1.1</v>
      </c>
      <c r="R29" s="113">
        <v>1937.251328863695</v>
      </c>
      <c r="S29" s="43">
        <v>17.5</v>
      </c>
      <c r="T29" s="44">
        <v>1</v>
      </c>
      <c r="U29" s="45">
        <v>1378.0792524512476</v>
      </c>
      <c r="V29" s="44">
        <v>17.5</v>
      </c>
      <c r="W29" s="44">
        <v>1</v>
      </c>
      <c r="X29" s="45">
        <v>1179.8643909638167</v>
      </c>
      <c r="Y29" s="43">
        <v>15.5</v>
      </c>
      <c r="Z29" s="24">
        <v>0.9</v>
      </c>
      <c r="AA29" s="45">
        <v>792.0347778781568</v>
      </c>
      <c r="AB29" s="43">
        <v>12</v>
      </c>
      <c r="AC29" s="44">
        <v>0.725</v>
      </c>
      <c r="AD29" s="45">
        <v>459.99976999999996</v>
      </c>
      <c r="AG29" s="37"/>
      <c r="AK29" s="23"/>
    </row>
    <row r="30" spans="1:37" ht="18.75">
      <c r="A30" s="7">
        <v>7</v>
      </c>
      <c r="B30" s="97" t="s">
        <v>46</v>
      </c>
      <c r="C30" s="103">
        <v>1.6</v>
      </c>
      <c r="D30" s="100"/>
      <c r="E30" s="103">
        <v>3.5</v>
      </c>
      <c r="F30" s="104">
        <v>1943</v>
      </c>
      <c r="G30" s="80">
        <f>(((2^(1/12)^6*$H$11/16)*F30*E30)^2*PI()*(IF(J30="Ferro",$R$11,IF(J30="Ottone",$R$12,IF(J30="Rame",$R$13)))*(((E30-C30)/2)^2+C30*(E30-C30)/2)+(C30^2*0.25*7.85))/((E30-C30)/2+C30*0.5)^2)/(10^9)</f>
        <v>1589.8951167048665</v>
      </c>
      <c r="H30" s="81">
        <v>1</v>
      </c>
      <c r="I30" s="85"/>
      <c r="J30" s="83" t="s">
        <v>134</v>
      </c>
      <c r="K30" s="84">
        <v>0</v>
      </c>
      <c r="L30" s="17">
        <f t="shared" si="1"/>
        <v>60.908835649250264</v>
      </c>
      <c r="M30" s="18"/>
      <c r="N30" s="37"/>
      <c r="O30" s="37"/>
      <c r="P30" s="43">
        <v>20</v>
      </c>
      <c r="Q30" s="44">
        <v>1.125</v>
      </c>
      <c r="R30" s="113">
        <v>1949.5208435159823</v>
      </c>
      <c r="S30" s="43">
        <v>18</v>
      </c>
      <c r="T30" s="44">
        <v>1.025</v>
      </c>
      <c r="U30" s="45">
        <v>1441.655822515946</v>
      </c>
      <c r="V30" s="44">
        <v>18</v>
      </c>
      <c r="W30" s="44">
        <v>1.025</v>
      </c>
      <c r="X30" s="45">
        <v>1229.6931184113264</v>
      </c>
      <c r="Y30" s="43">
        <v>16</v>
      </c>
      <c r="Z30" s="24">
        <v>0.925</v>
      </c>
      <c r="AA30" s="45">
        <v>826.5677533750385</v>
      </c>
      <c r="AB30" s="43">
        <v>12.5</v>
      </c>
      <c r="AC30" s="44">
        <v>0.75</v>
      </c>
      <c r="AD30" s="45">
        <v>487.99975599999993</v>
      </c>
      <c r="AG30" s="37"/>
      <c r="AK30" s="23"/>
    </row>
    <row r="31" spans="1:37" ht="18.75">
      <c r="A31" s="7">
        <v>8</v>
      </c>
      <c r="B31" s="97" t="s">
        <v>47</v>
      </c>
      <c r="C31" s="103">
        <v>1.6</v>
      </c>
      <c r="D31" s="99"/>
      <c r="E31" s="103">
        <v>3.45</v>
      </c>
      <c r="F31" s="104">
        <v>1922</v>
      </c>
      <c r="G31" s="80">
        <f>(((2^(1/12)^7*$H$11/16)*F31*E31)^2*PI()*(IF(J31="Ferro",$R$11,IF(J31="Ottone",$R$12,IF(J31="Rame",$R$13)))*(((E31-C31)/2)^2+C31*(E31-C31)/2)+(C31^2*0.25*7.85))/((E31-C31)/2+C31*0.5)^2)/(10^9)</f>
        <v>1697.9352572338867</v>
      </c>
      <c r="H31" s="81">
        <v>1</v>
      </c>
      <c r="I31" s="82"/>
      <c r="J31" s="83" t="s">
        <v>134</v>
      </c>
      <c r="K31" s="84" t="s">
        <v>12</v>
      </c>
      <c r="L31" s="17">
        <f t="shared" si="1"/>
        <v>52.17693644554794</v>
      </c>
      <c r="M31" s="18"/>
      <c r="N31" s="29"/>
      <c r="O31" s="29"/>
      <c r="P31" s="43">
        <v>20.5</v>
      </c>
      <c r="Q31" s="44">
        <v>1.15</v>
      </c>
      <c r="R31" s="113">
        <v>2067.510596010866</v>
      </c>
      <c r="S31" s="43">
        <v>18.5</v>
      </c>
      <c r="T31" s="44">
        <v>1.05</v>
      </c>
      <c r="U31" s="45">
        <v>1506.6685667534948</v>
      </c>
      <c r="V31" s="44">
        <v>18.5</v>
      </c>
      <c r="W31" s="44">
        <v>1.05</v>
      </c>
      <c r="X31" s="45">
        <v>1280.0188556341113</v>
      </c>
      <c r="Y31" s="43">
        <v>16.5</v>
      </c>
      <c r="Z31" s="24">
        <v>0.95</v>
      </c>
      <c r="AA31" s="45">
        <v>861.2185385964294</v>
      </c>
      <c r="AB31" s="43">
        <v>13</v>
      </c>
      <c r="AC31" s="44">
        <v>0.775</v>
      </c>
      <c r="AD31" s="45">
        <v>515.999742</v>
      </c>
      <c r="AG31" s="37"/>
      <c r="AK31" s="23"/>
    </row>
    <row r="32" spans="1:40" ht="18.75">
      <c r="A32" s="7">
        <v>9</v>
      </c>
      <c r="B32" s="97" t="s">
        <v>48</v>
      </c>
      <c r="C32" s="103">
        <v>1.3</v>
      </c>
      <c r="D32" s="99"/>
      <c r="E32" s="103">
        <v>2.8</v>
      </c>
      <c r="F32" s="104">
        <v>1892</v>
      </c>
      <c r="G32" s="80">
        <f>(((2^(1/12)^8*$H$11/16)*F32*E32)^2*PI()*(IF(J32="Ferro",$R$11,IF(J32="Ottone",$R$12,IF(J32="Rame",$R$13)))*(((E32-C32)/2)^2+C32*(E32-C32)/2)+(C32^2*0.25*7.85))/((E32-C32)/2+C32*0.5)^2)/(10^9)</f>
        <v>1216.553371882743</v>
      </c>
      <c r="H32" s="81">
        <v>2</v>
      </c>
      <c r="I32" s="82"/>
      <c r="J32" s="83" t="s">
        <v>134</v>
      </c>
      <c r="K32" s="84" t="s">
        <v>12</v>
      </c>
      <c r="L32" s="17">
        <f t="shared" si="1"/>
        <v>54.398496240244356</v>
      </c>
      <c r="M32" s="18"/>
      <c r="N32" s="37"/>
      <c r="O32" s="37"/>
      <c r="P32" s="43">
        <v>21</v>
      </c>
      <c r="Q32" s="44">
        <v>1.175</v>
      </c>
      <c r="R32" s="113">
        <v>2130.728766804283</v>
      </c>
      <c r="S32" s="43">
        <v>19</v>
      </c>
      <c r="T32" s="44">
        <v>1.075</v>
      </c>
      <c r="U32" s="45">
        <v>1572.8019759954411</v>
      </c>
      <c r="V32" s="44">
        <v>19</v>
      </c>
      <c r="W32" s="44">
        <v>1.075</v>
      </c>
      <c r="X32" s="45">
        <v>1330.8062597148182</v>
      </c>
      <c r="Y32" s="43">
        <v>17</v>
      </c>
      <c r="Z32" s="24">
        <v>0.975</v>
      </c>
      <c r="AA32" s="45">
        <v>895.9429548956391</v>
      </c>
      <c r="AB32" s="43">
        <v>13.5</v>
      </c>
      <c r="AC32" s="44">
        <v>0.8</v>
      </c>
      <c r="AD32" s="45">
        <v>543.9997279999999</v>
      </c>
      <c r="AG32" s="37"/>
      <c r="AK32" s="23"/>
      <c r="AN32" s="131"/>
    </row>
    <row r="33" spans="1:37" ht="18.75">
      <c r="A33" s="7">
        <v>10</v>
      </c>
      <c r="B33" s="97" t="s">
        <v>49</v>
      </c>
      <c r="C33" s="103">
        <v>1.3</v>
      </c>
      <c r="D33" s="99"/>
      <c r="E33" s="103">
        <v>2.7</v>
      </c>
      <c r="F33" s="104">
        <v>1860</v>
      </c>
      <c r="G33" s="80">
        <f>(((2^(1/12)^9*$H$11/16)*F33*E33)^2*PI()*(IF(J33="Ferro",$R$11,IF(J33="Ottone",$R$12,IF(J33="Rame",$R$13)))*(((E33-C33)/2)^2+C33*(E33-C33)/2)+(C33^2*0.25*7.85))/((E33-C33)/2+C33*0.5)^2)/(10^9)</f>
        <v>1229.5427432157712</v>
      </c>
      <c r="H33" s="81">
        <v>2</v>
      </c>
      <c r="I33" s="82"/>
      <c r="J33" s="83" t="s">
        <v>134</v>
      </c>
      <c r="K33" s="84" t="s">
        <v>12</v>
      </c>
      <c r="L33" s="17">
        <f t="shared" si="1"/>
        <v>54.97931931299564</v>
      </c>
      <c r="M33" s="18"/>
      <c r="N33" s="50"/>
      <c r="O33" s="22"/>
      <c r="P33" s="43">
        <v>21.5</v>
      </c>
      <c r="Q33" s="44">
        <v>1.2</v>
      </c>
      <c r="R33" s="113">
        <v>2209.639192902381</v>
      </c>
      <c r="S33" s="43">
        <v>19.5</v>
      </c>
      <c r="T33" s="44">
        <v>1.1</v>
      </c>
      <c r="U33" s="45">
        <v>1646.8061793007976</v>
      </c>
      <c r="V33" s="44">
        <v>19.5</v>
      </c>
      <c r="W33" s="44">
        <v>1.1</v>
      </c>
      <c r="X33" s="45">
        <v>1382.0199877360947</v>
      </c>
      <c r="Y33" s="43">
        <v>17.5</v>
      </c>
      <c r="Z33" s="24">
        <v>1</v>
      </c>
      <c r="AA33" s="45">
        <v>930.6968236259762</v>
      </c>
      <c r="AB33" s="43">
        <v>14</v>
      </c>
      <c r="AC33" s="44">
        <v>0.825</v>
      </c>
      <c r="AD33" s="45">
        <v>572.9997135</v>
      </c>
      <c r="AG33" s="51"/>
      <c r="AK33" s="23"/>
    </row>
    <row r="34" spans="1:37" ht="18.75">
      <c r="A34" s="7">
        <v>11</v>
      </c>
      <c r="B34" s="97" t="s">
        <v>50</v>
      </c>
      <c r="C34" s="103">
        <v>1.3</v>
      </c>
      <c r="D34" s="99"/>
      <c r="E34" s="103">
        <v>2.575</v>
      </c>
      <c r="F34" s="104">
        <v>1825</v>
      </c>
      <c r="G34" s="80">
        <f>(((2^(1/12)^10*$H$11/16)*F34*E34)^2*PI()*(IF(J34="Ferro",$R$11,IF(J34="Ottone",$R$12,IF(J34="Rame",$R$13)))*(((E34-C34)/2)^2+C34*(E34-C34)/2)+(C34^2*0.25*7.85))/((E34-C34)/2+C34*0.5)^2)/(10^9)</f>
        <v>1211.8199113065225</v>
      </c>
      <c r="H34" s="81">
        <v>2</v>
      </c>
      <c r="I34" s="82"/>
      <c r="J34" s="83" t="s">
        <v>134</v>
      </c>
      <c r="K34" s="84" t="s">
        <v>12</v>
      </c>
      <c r="L34" s="17">
        <f t="shared" si="1"/>
        <v>54.186838335782355</v>
      </c>
      <c r="M34" s="18"/>
      <c r="P34" s="43"/>
      <c r="Q34" s="44"/>
      <c r="R34" s="45"/>
      <c r="S34" s="43">
        <v>20</v>
      </c>
      <c r="T34" s="44">
        <v>1.125</v>
      </c>
      <c r="U34" s="45">
        <v>1715.0564820300258</v>
      </c>
      <c r="V34" s="44">
        <v>20</v>
      </c>
      <c r="W34" s="44">
        <v>1.125</v>
      </c>
      <c r="X34" s="45">
        <v>1433.6246967805866</v>
      </c>
      <c r="Y34" s="43">
        <v>18</v>
      </c>
      <c r="Z34" s="24">
        <v>1.025</v>
      </c>
      <c r="AA34" s="45">
        <v>965.4359661407495</v>
      </c>
      <c r="AB34" s="43">
        <v>14.5</v>
      </c>
      <c r="AC34" s="52">
        <v>0.85</v>
      </c>
      <c r="AD34" s="45">
        <v>600.9996994999999</v>
      </c>
      <c r="AK34" s="23"/>
    </row>
    <row r="35" spans="1:37" ht="18.75">
      <c r="A35" s="7">
        <v>12</v>
      </c>
      <c r="B35" s="97" t="s">
        <v>51</v>
      </c>
      <c r="C35" s="103">
        <v>1.25</v>
      </c>
      <c r="D35" s="99"/>
      <c r="E35" s="103">
        <v>2.4</v>
      </c>
      <c r="F35" s="104">
        <v>1775</v>
      </c>
      <c r="G35" s="80">
        <f>(((2^(1/12)^11*$H$11/16)*F35*E35)^2*PI()*(IF(J35="Ferro",$R$11,IF(J35="Ottone",$R$12,IF(J35="Rame",$R$13)))*(((E35-C35)/2)^2+C35*(E35-C35)/2)+(C35^2*0.25*7.85))/((E35-C35)/2+C35*0.5)^2)/(10^9)</f>
        <v>1119.9458291660003</v>
      </c>
      <c r="H35" s="81">
        <v>2</v>
      </c>
      <c r="I35" s="82"/>
      <c r="J35" s="83" t="s">
        <v>134</v>
      </c>
      <c r="K35" s="84" t="s">
        <v>12</v>
      </c>
      <c r="L35" s="17">
        <f t="shared" si="1"/>
        <v>53.80581993069096</v>
      </c>
      <c r="M35" s="18"/>
      <c r="N35" s="24"/>
      <c r="O35" s="24"/>
      <c r="P35" s="43"/>
      <c r="Q35" s="44"/>
      <c r="R35" s="45"/>
      <c r="S35" s="43">
        <v>20.5</v>
      </c>
      <c r="T35" s="44">
        <v>1.15</v>
      </c>
      <c r="U35" s="45">
        <v>1792.1281560373006</v>
      </c>
      <c r="V35" s="44">
        <v>20.5</v>
      </c>
      <c r="W35" s="44">
        <v>1.15</v>
      </c>
      <c r="X35" s="45">
        <v>1485.5850439309422</v>
      </c>
      <c r="Y35" s="43">
        <v>18.5</v>
      </c>
      <c r="Z35" s="24">
        <v>1.05</v>
      </c>
      <c r="AA35" s="45">
        <v>1000.1162037932681</v>
      </c>
      <c r="AB35" s="43">
        <v>15</v>
      </c>
      <c r="AC35" s="52">
        <v>0.875</v>
      </c>
      <c r="AD35" s="45">
        <v>630.9996845</v>
      </c>
      <c r="AG35" s="53"/>
      <c r="AK35" s="23"/>
    </row>
    <row r="36" spans="1:37" ht="18.75">
      <c r="A36" s="7">
        <v>13</v>
      </c>
      <c r="B36" s="97" t="s">
        <v>52</v>
      </c>
      <c r="C36" s="103">
        <v>1.25</v>
      </c>
      <c r="D36" s="99"/>
      <c r="E36" s="103">
        <v>2.35</v>
      </c>
      <c r="F36" s="104">
        <v>1732</v>
      </c>
      <c r="G36" s="80">
        <f>(((2^(1/12)^12*$H$11/16)*F36*E36)^2*PI()*(IF(J36="Ferro",$R$11,IF(J36="Ottone",$R$12,IF(J36="Rame",$R$13)))*(((E36-C36)/2)^2+C36*(E36-C36)/2)+(C36^2*0.25*7.85))/((E36-C36)/2+C36*0.5)^2)/(10^9)</f>
        <v>1149.1686832626485</v>
      </c>
      <c r="H36" s="81">
        <v>2</v>
      </c>
      <c r="I36" s="82"/>
      <c r="J36" s="83" t="s">
        <v>134</v>
      </c>
      <c r="K36" s="84" t="s">
        <v>12</v>
      </c>
      <c r="L36" s="17">
        <f t="shared" si="1"/>
        <v>55.209780358452015</v>
      </c>
      <c r="M36" s="18"/>
      <c r="N36" s="24"/>
      <c r="O36" s="24"/>
      <c r="P36" s="43"/>
      <c r="Q36" s="44"/>
      <c r="R36" s="45"/>
      <c r="S36" s="43">
        <v>21</v>
      </c>
      <c r="T36" s="44">
        <v>1.175</v>
      </c>
      <c r="U36" s="45">
        <v>1854.6286078996823</v>
      </c>
      <c r="V36" s="44">
        <v>21</v>
      </c>
      <c r="W36" s="44">
        <v>1.175</v>
      </c>
      <c r="X36" s="45">
        <v>1537.865686269809</v>
      </c>
      <c r="Y36" s="43">
        <v>19</v>
      </c>
      <c r="Z36" s="24">
        <v>1.075</v>
      </c>
      <c r="AA36" s="45">
        <v>1034.6933579368406</v>
      </c>
      <c r="AB36" s="43">
        <v>15.5</v>
      </c>
      <c r="AC36" s="52">
        <v>0.9</v>
      </c>
      <c r="AD36" s="45">
        <v>659.9996699999999</v>
      </c>
      <c r="AG36" s="53"/>
      <c r="AK36" s="23"/>
    </row>
    <row r="37" spans="1:37" ht="18.75">
      <c r="A37" s="7">
        <v>14</v>
      </c>
      <c r="B37" s="97" t="s">
        <v>53</v>
      </c>
      <c r="C37" s="103">
        <v>1.225</v>
      </c>
      <c r="D37" s="99"/>
      <c r="E37" s="103">
        <v>2.25</v>
      </c>
      <c r="F37" s="104">
        <v>1690</v>
      </c>
      <c r="G37" s="80">
        <f>(((2^(1/12)^13*$H$11/16)*F37*E37)^2*PI()*(IF(J37="Ferro",$R$11,IF(J37="Ottone",$R$12,IF(J37="Rame",$R$13)))*(((E37-C37)/2)^2+C37*(E37-C37)/2)+(C37^2*0.25*7.85))/((E37-C37)/2+C37*0.5)^2)/(10^9)</f>
        <v>1127.6081398990427</v>
      </c>
      <c r="H37" s="81">
        <v>2</v>
      </c>
      <c r="I37" s="82"/>
      <c r="J37" s="83" t="s">
        <v>134</v>
      </c>
      <c r="K37" s="84" t="s">
        <v>12</v>
      </c>
      <c r="L37" s="17">
        <f t="shared" si="1"/>
        <v>56.17172304473784</v>
      </c>
      <c r="M37" s="18"/>
      <c r="N37" s="54"/>
      <c r="O37" s="24"/>
      <c r="P37" s="43"/>
      <c r="Q37" s="44"/>
      <c r="R37" s="45"/>
      <c r="S37" s="43">
        <v>21.5</v>
      </c>
      <c r="T37" s="44">
        <v>1.2</v>
      </c>
      <c r="U37" s="45">
        <v>1934.3885525581113</v>
      </c>
      <c r="V37" s="44">
        <v>21.5</v>
      </c>
      <c r="W37" s="44">
        <v>1.2</v>
      </c>
      <c r="X37" s="45">
        <v>1590.431280879833</v>
      </c>
      <c r="Y37" s="43">
        <v>19.5</v>
      </c>
      <c r="Z37" s="24">
        <v>1.1</v>
      </c>
      <c r="AA37" s="45">
        <v>1069.1232499247767</v>
      </c>
      <c r="AB37" s="43">
        <v>16</v>
      </c>
      <c r="AC37" s="52">
        <v>0.925</v>
      </c>
      <c r="AD37" s="45">
        <v>689.9996550000001</v>
      </c>
      <c r="AG37" s="53"/>
      <c r="AK37" s="23"/>
    </row>
    <row r="38" spans="1:37" ht="18.75">
      <c r="A38" s="7">
        <v>15</v>
      </c>
      <c r="B38" s="97" t="s">
        <v>54</v>
      </c>
      <c r="C38" s="103">
        <v>1.175</v>
      </c>
      <c r="D38" s="99"/>
      <c r="E38" s="103">
        <v>2.075</v>
      </c>
      <c r="F38" s="104">
        <v>1642</v>
      </c>
      <c r="G38" s="80">
        <f>(((2^(1/12)^14*$H$11/16)*F38*E38)^2*PI()*(IF(J38="Ferro",$R$11,IF(J38="Ottone",$R$12,IF(J38="Rame",$R$13)))*(((E38-C38)/2)^2+C38*(E38-C38)/2)+(C38^2*0.25*7.85))/((E38-C38)/2+C38*0.5)^2)/(10^9)</f>
        <v>1019.1112129228873</v>
      </c>
      <c r="H38" s="81">
        <v>2</v>
      </c>
      <c r="I38" s="82"/>
      <c r="J38" s="83" t="s">
        <v>134</v>
      </c>
      <c r="K38" s="84" t="s">
        <v>12</v>
      </c>
      <c r="L38" s="17">
        <f t="shared" si="1"/>
        <v>54.94961139831676</v>
      </c>
      <c r="M38" s="18"/>
      <c r="P38" s="43"/>
      <c r="Q38" s="44"/>
      <c r="R38" s="45"/>
      <c r="S38" s="43">
        <v>22</v>
      </c>
      <c r="T38" s="44">
        <v>1.225</v>
      </c>
      <c r="U38" s="45">
        <v>2007.4302135986854</v>
      </c>
      <c r="V38" s="44">
        <v>22</v>
      </c>
      <c r="W38" s="44">
        <v>1.225</v>
      </c>
      <c r="X38" s="45">
        <v>1643.246484843662</v>
      </c>
      <c r="Y38" s="43">
        <v>20</v>
      </c>
      <c r="Z38" s="24">
        <v>1.125</v>
      </c>
      <c r="AA38" s="45">
        <v>1103.3617011103838</v>
      </c>
      <c r="AB38" s="43">
        <v>16.5</v>
      </c>
      <c r="AC38" s="52">
        <v>0.95</v>
      </c>
      <c r="AD38" s="45">
        <v>719.9996399999999</v>
      </c>
      <c r="AK38" s="23"/>
    </row>
    <row r="39" spans="1:37" ht="18.75">
      <c r="A39" s="7">
        <v>16</v>
      </c>
      <c r="B39" s="97" t="s">
        <v>55</v>
      </c>
      <c r="C39" s="103">
        <v>1.175</v>
      </c>
      <c r="D39" s="99"/>
      <c r="E39" s="103">
        <v>2.075</v>
      </c>
      <c r="F39" s="104">
        <v>1593</v>
      </c>
      <c r="G39" s="80">
        <f>(((2^(1/12)^15*$H$11/16)*F39*E39)^2*PI()*(IF(J39="Ferro",$R$11,IF(J39="Ottone",$R$12,IF(J39="Rame",$R$13)))*(((E39-C39)/2)^2+C39*(E39-C39)/2)+(C39^2*0.25*7.85))/((E39-C39)/2+C39*0.5)^2)/(10^9)</f>
        <v>1076.6597855872897</v>
      </c>
      <c r="H39" s="81">
        <v>2</v>
      </c>
      <c r="I39" s="82"/>
      <c r="J39" s="83" t="s">
        <v>134</v>
      </c>
      <c r="K39" s="84" t="s">
        <v>12</v>
      </c>
      <c r="L39" s="17">
        <f t="shared" si="1"/>
        <v>58.05258157893824</v>
      </c>
      <c r="M39" s="18"/>
      <c r="P39" s="43"/>
      <c r="Q39" s="44"/>
      <c r="R39" s="45"/>
      <c r="S39" s="43">
        <v>22.5</v>
      </c>
      <c r="T39" s="44">
        <v>1.25</v>
      </c>
      <c r="U39" s="45">
        <v>2081.4585310820266</v>
      </c>
      <c r="V39" s="44">
        <v>22.5</v>
      </c>
      <c r="W39" s="44">
        <v>1.25</v>
      </c>
      <c r="X39" s="45">
        <v>1696.275955243942</v>
      </c>
      <c r="Y39" s="43">
        <v>20.5</v>
      </c>
      <c r="Z39" s="24">
        <v>1.15</v>
      </c>
      <c r="AA39" s="45">
        <v>1137.364532846972</v>
      </c>
      <c r="AB39" s="43">
        <v>17</v>
      </c>
      <c r="AC39" s="52">
        <v>0.975</v>
      </c>
      <c r="AD39" s="45">
        <v>749.9996249999999</v>
      </c>
      <c r="AK39" s="23"/>
    </row>
    <row r="40" spans="1:37" ht="19.5" thickBot="1">
      <c r="A40" s="7">
        <v>17</v>
      </c>
      <c r="B40" s="97" t="s">
        <v>56</v>
      </c>
      <c r="C40" s="103">
        <v>0.95</v>
      </c>
      <c r="D40" s="101"/>
      <c r="E40" s="103">
        <v>1.7</v>
      </c>
      <c r="F40" s="104">
        <v>1540</v>
      </c>
      <c r="G40" s="80">
        <f>(((2^(1/12)^16*$H$11/16)*F40*E40)^2*PI()*(IF(J40="Ferro",$R$11,IF(J40="Ottone",$R$12,IF(J40="Rame",$R$13)))*(((E40-C40)/2)^2+C40*(E40-C40)/2)+(C40^2*0.25*7.85))/((E40-C40)/2+C40*0.5)^2)/(10^9)</f>
        <v>757.3403514790433</v>
      </c>
      <c r="H40" s="81">
        <v>2</v>
      </c>
      <c r="I40" s="86"/>
      <c r="J40" s="83" t="s">
        <v>134</v>
      </c>
      <c r="K40" s="84" t="s">
        <v>12</v>
      </c>
      <c r="L40" s="17">
        <f t="shared" si="1"/>
        <v>60.26223980368784</v>
      </c>
      <c r="M40" s="18"/>
      <c r="N40" s="24"/>
      <c r="O40" s="24"/>
      <c r="P40" s="43"/>
      <c r="Q40" s="44"/>
      <c r="R40" s="45"/>
      <c r="S40" s="43">
        <v>23</v>
      </c>
      <c r="T40" s="44">
        <v>1.3</v>
      </c>
      <c r="U40" s="45">
        <v>2236.373164636726</v>
      </c>
      <c r="V40" s="44">
        <v>23</v>
      </c>
      <c r="W40" s="44">
        <v>1.3</v>
      </c>
      <c r="X40" s="45">
        <v>1818.7641984381476</v>
      </c>
      <c r="Y40" s="43">
        <v>21</v>
      </c>
      <c r="Z40" s="24">
        <v>1.175</v>
      </c>
      <c r="AA40" s="45">
        <v>1171.0875664878504</v>
      </c>
      <c r="AB40" s="43">
        <v>17.5</v>
      </c>
      <c r="AC40" s="52">
        <v>1</v>
      </c>
      <c r="AD40" s="45">
        <v>779.99961</v>
      </c>
      <c r="AK40" s="23"/>
    </row>
    <row r="41" spans="1:38" ht="18.75">
      <c r="A41" s="7">
        <v>18</v>
      </c>
      <c r="B41" s="97" t="s">
        <v>57</v>
      </c>
      <c r="C41" s="105">
        <v>0.95</v>
      </c>
      <c r="D41" s="99"/>
      <c r="E41" s="103">
        <v>1.6</v>
      </c>
      <c r="F41" s="104">
        <v>1484</v>
      </c>
      <c r="G41" s="80">
        <f>(((2^(1/12)^17*$H$11/16)*F41*E41)^2*PI()*(IF(J41="Ferro",$R$11,IF(J41="Ottone",$R$12,IF(J41="Rame",$R$13)))*(((E41-C41)/2)^2+C41*(E41-C41)/2)+(C41^2*0.25*7.85))/((E41-C41)/2+C41*0.5)^2)/(10^9)</f>
        <v>702.583070307406</v>
      </c>
      <c r="H41" s="81">
        <v>2</v>
      </c>
      <c r="I41" s="82"/>
      <c r="J41" s="83" t="s">
        <v>134</v>
      </c>
      <c r="K41" s="84" t="s">
        <v>12</v>
      </c>
      <c r="L41" s="17">
        <f t="shared" si="1"/>
        <v>55.9051546404335</v>
      </c>
      <c r="M41" s="18"/>
      <c r="N41" s="24"/>
      <c r="O41" s="24"/>
      <c r="P41" s="43"/>
      <c r="Q41" s="44"/>
      <c r="R41" s="45"/>
      <c r="S41" s="43">
        <v>23.5</v>
      </c>
      <c r="T41" s="44">
        <v>1.35</v>
      </c>
      <c r="U41" s="45">
        <v>2396.1437677735566</v>
      </c>
      <c r="V41" s="44">
        <v>23.5</v>
      </c>
      <c r="W41" s="44">
        <v>1.35</v>
      </c>
      <c r="X41" s="45">
        <v>1944.1829585295297</v>
      </c>
      <c r="Y41" s="43">
        <v>21.5</v>
      </c>
      <c r="Z41" s="24">
        <v>1.2</v>
      </c>
      <c r="AA41" s="45">
        <v>1204.4866233863268</v>
      </c>
      <c r="AB41" s="43">
        <v>18</v>
      </c>
      <c r="AC41" s="52">
        <v>1.025</v>
      </c>
      <c r="AD41" s="45">
        <v>810.9995944999998</v>
      </c>
      <c r="AK41" s="23"/>
      <c r="AL41" s="132"/>
    </row>
    <row r="42" spans="1:37" ht="18.75">
      <c r="A42" s="7">
        <v>19</v>
      </c>
      <c r="B42" s="97" t="s">
        <v>58</v>
      </c>
      <c r="C42" s="105">
        <v>0.95</v>
      </c>
      <c r="D42" s="99"/>
      <c r="E42" s="103">
        <v>1.575</v>
      </c>
      <c r="F42" s="104">
        <v>1426</v>
      </c>
      <c r="G42" s="80">
        <f>(((2^(1/12)^18*$H$11/16)*F42*E42)^2*PI()*(IF(J42="Ferro",$R$11,IF(J42="Ottone",$R$12,IF(J42="Rame",$R$13)))*(((E42-C42)/2)^2+C42*(E42-C42)/2)+(C42^2*0.25*7.85))/((E42-C42)/2+C42*0.5)^2)/(10^9)</f>
        <v>706.543741267585</v>
      </c>
      <c r="H42" s="81">
        <v>2</v>
      </c>
      <c r="I42" s="82"/>
      <c r="J42" s="83" t="s">
        <v>134</v>
      </c>
      <c r="K42" s="84" t="s">
        <v>12</v>
      </c>
      <c r="L42" s="17">
        <f t="shared" si="1"/>
        <v>56.22030872237259</v>
      </c>
      <c r="M42" s="18"/>
      <c r="N42" s="24"/>
      <c r="O42" s="24"/>
      <c r="P42" s="43"/>
      <c r="Q42" s="44"/>
      <c r="R42" s="45"/>
      <c r="S42" s="43">
        <v>24</v>
      </c>
      <c r="T42" s="44">
        <v>1.4</v>
      </c>
      <c r="U42" s="45">
        <v>2559.6047605306494</v>
      </c>
      <c r="V42" s="44">
        <v>24</v>
      </c>
      <c r="W42" s="44">
        <v>1.4</v>
      </c>
      <c r="X42" s="45">
        <v>2072.3908638486764</v>
      </c>
      <c r="Y42" s="43">
        <v>22</v>
      </c>
      <c r="Z42" s="24">
        <v>1.225</v>
      </c>
      <c r="AA42" s="45">
        <v>1237.517524895711</v>
      </c>
      <c r="AB42" s="43">
        <v>18.5</v>
      </c>
      <c r="AC42" s="52">
        <v>1.05</v>
      </c>
      <c r="AD42" s="45">
        <v>840.9995795</v>
      </c>
      <c r="AK42" s="23"/>
    </row>
    <row r="43" spans="1:37" ht="18.75">
      <c r="A43" s="7">
        <v>20</v>
      </c>
      <c r="B43" s="97" t="s">
        <v>59</v>
      </c>
      <c r="C43" s="105">
        <v>0.95</v>
      </c>
      <c r="D43" s="99"/>
      <c r="E43" s="103">
        <v>1.55</v>
      </c>
      <c r="F43" s="106">
        <v>1365</v>
      </c>
      <c r="G43" s="80">
        <f>(((2^(1/12)^19*$H$11/16)*F43*E43)^2*PI()*(IF(J43="Ferro",$R$11,IF(J43="Ottone",$R$12,IF(J43="Rame",$R$13)))*(((E43-C43)/2)^2+C43*(E43-C43)/2)+(C43^2*0.25*7.85))/((E43-C43)/2+C43*0.5)^2)/(10^9)</f>
        <v>704.7642955536769</v>
      </c>
      <c r="H43" s="81">
        <v>2</v>
      </c>
      <c r="I43" s="82"/>
      <c r="J43" s="83" t="s">
        <v>134</v>
      </c>
      <c r="K43" s="84" t="s">
        <v>12</v>
      </c>
      <c r="L43" s="17">
        <f t="shared" si="1"/>
        <v>56.0787166572994</v>
      </c>
      <c r="M43" s="18"/>
      <c r="N43" s="24"/>
      <c r="O43" s="24"/>
      <c r="P43" s="43"/>
      <c r="Q43" s="44"/>
      <c r="R43" s="45"/>
      <c r="S43" s="43">
        <v>24.5</v>
      </c>
      <c r="T43" s="44">
        <v>1.45</v>
      </c>
      <c r="U43" s="45">
        <v>2733.932964062978</v>
      </c>
      <c r="V43" s="44">
        <v>24.5</v>
      </c>
      <c r="W43" s="44">
        <v>1.45</v>
      </c>
      <c r="X43" s="45">
        <v>2203.2465427261777</v>
      </c>
      <c r="Y43" s="43">
        <v>22.5</v>
      </c>
      <c r="Z43" s="24">
        <v>1.25</v>
      </c>
      <c r="AA43" s="45">
        <v>1270.136092369311</v>
      </c>
      <c r="AB43" s="43">
        <v>19</v>
      </c>
      <c r="AC43" s="52">
        <v>1.075</v>
      </c>
      <c r="AD43" s="45">
        <v>871.999564</v>
      </c>
      <c r="AK43" s="23"/>
    </row>
    <row r="44" spans="1:37" ht="18.75">
      <c r="A44" s="7">
        <v>21</v>
      </c>
      <c r="B44" s="97" t="s">
        <v>60</v>
      </c>
      <c r="C44" s="103">
        <v>1.125</v>
      </c>
      <c r="D44" s="103">
        <v>1.125</v>
      </c>
      <c r="E44" s="103">
        <v>1.125</v>
      </c>
      <c r="F44" s="106">
        <v>1825</v>
      </c>
      <c r="G44" s="80">
        <f>(((2^(1/12)^20*$H$11/16)*F44*E44)^2*PI()*(IF(J44="Ferro",$R$11,IF(J44="Ottone",$R$12,IF(J44="Rame",$R$13)))*(((E44-C44)/2)^2+C44*(E44-C44)/2)+(C44^2*0.25*7.85))/((E44-C44)/2+C44*0.5)^2)/(10^9)</f>
        <v>799.6283886702186</v>
      </c>
      <c r="H44" s="81">
        <v>3</v>
      </c>
      <c r="I44" s="82"/>
      <c r="J44" s="83" t="s">
        <v>134</v>
      </c>
      <c r="K44" s="84">
        <v>0</v>
      </c>
      <c r="L44" s="17">
        <f t="shared" si="1"/>
        <v>55.7766890083507</v>
      </c>
      <c r="M44" s="18"/>
      <c r="N44" s="55"/>
      <c r="O44" s="55"/>
      <c r="P44" s="43"/>
      <c r="Q44" s="44"/>
      <c r="R44" s="45"/>
      <c r="S44" s="43">
        <v>25</v>
      </c>
      <c r="T44" s="44">
        <v>1.5</v>
      </c>
      <c r="U44" s="45">
        <v>2905.8504861075276</v>
      </c>
      <c r="V44" s="44">
        <v>25</v>
      </c>
      <c r="W44" s="44">
        <v>1.5</v>
      </c>
      <c r="X44" s="45">
        <v>2336.608623492621</v>
      </c>
      <c r="Y44" s="43">
        <v>23</v>
      </c>
      <c r="Z44" s="24">
        <v>1.3</v>
      </c>
      <c r="AA44" s="45">
        <v>1353.8693540645213</v>
      </c>
      <c r="AB44" s="43">
        <v>19.5</v>
      </c>
      <c r="AC44" s="52">
        <v>1.1</v>
      </c>
      <c r="AD44" s="45">
        <v>901.9995489999999</v>
      </c>
      <c r="AK44" s="23"/>
    </row>
    <row r="45" spans="1:37" ht="18.75">
      <c r="A45" s="7">
        <v>22</v>
      </c>
      <c r="B45" s="97" t="s">
        <v>61</v>
      </c>
      <c r="C45" s="103">
        <v>1.125</v>
      </c>
      <c r="D45" s="103">
        <v>1.125</v>
      </c>
      <c r="E45" s="103">
        <v>1.125</v>
      </c>
      <c r="F45" s="106">
        <v>1732</v>
      </c>
      <c r="G45" s="80">
        <f>(((2^(1/12)^21*$H$11/16)*F45*E45)^2*PI()*(IF(J45="Ferro",$R$11,IF(J45="Ottone",$R$12,IF(J45="Rame",$R$13)))*(((E45-C45)/2)^2+C45*(E45-C45)/2)+(C45^2*0.25*7.85))/((E45-C45)/2+C45*0.5)^2)/(10^9)</f>
        <v>808.4067068060623</v>
      </c>
      <c r="H45" s="81">
        <v>3</v>
      </c>
      <c r="I45" s="82"/>
      <c r="J45" s="83" t="s">
        <v>134</v>
      </c>
      <c r="K45" s="84">
        <v>0</v>
      </c>
      <c r="L45" s="17">
        <f t="shared" si="1"/>
        <v>56.38900533880711</v>
      </c>
      <c r="M45" s="18"/>
      <c r="N45" s="24"/>
      <c r="P45" s="43"/>
      <c r="Q45" s="44"/>
      <c r="R45" s="45"/>
      <c r="S45" s="43">
        <v>25.5</v>
      </c>
      <c r="T45" s="44">
        <v>1.55</v>
      </c>
      <c r="U45" s="45">
        <v>3068.130436376413</v>
      </c>
      <c r="V45" s="44">
        <v>25.5</v>
      </c>
      <c r="W45" s="44">
        <v>1.55</v>
      </c>
      <c r="X45" s="56">
        <v>2472.335734478595</v>
      </c>
      <c r="Y45" s="43">
        <v>23.5</v>
      </c>
      <c r="Z45" s="52">
        <v>1.35</v>
      </c>
      <c r="AA45" s="45">
        <v>1438.545093555809</v>
      </c>
      <c r="AB45" s="43">
        <v>20</v>
      </c>
      <c r="AC45" s="52">
        <v>1.125</v>
      </c>
      <c r="AD45" s="45">
        <v>932.9995334999998</v>
      </c>
      <c r="AK45" s="23"/>
    </row>
    <row r="46" spans="1:37" ht="18.75">
      <c r="A46" s="7">
        <v>23</v>
      </c>
      <c r="B46" s="97" t="s">
        <v>62</v>
      </c>
      <c r="C46" s="103">
        <v>1.125</v>
      </c>
      <c r="D46" s="103">
        <v>1.125</v>
      </c>
      <c r="E46" s="103">
        <v>1.125</v>
      </c>
      <c r="F46" s="106">
        <v>1650</v>
      </c>
      <c r="G46" s="80">
        <f>(((2^(1/12)^22*$H$11/16)*F46*E46)^2*PI()*(IF(J46="Ferro",$R$11,IF(J46="Ottone",$R$12,IF(J46="Rame",$R$13)))*(((E46-C46)/2)^2+C46*(E46-C46)/2)+(C46^2*0.25*7.85))/((E46-C46)/2+C46*0.5)^2)/(10^9)</f>
        <v>823.5191201713412</v>
      </c>
      <c r="H46" s="81">
        <v>3</v>
      </c>
      <c r="I46" s="82"/>
      <c r="J46" s="83" t="s">
        <v>134</v>
      </c>
      <c r="K46" s="84">
        <v>0</v>
      </c>
      <c r="L46" s="17">
        <f t="shared" si="1"/>
        <v>57.44314547738146</v>
      </c>
      <c r="M46" s="18"/>
      <c r="N46" s="24"/>
      <c r="P46" s="43"/>
      <c r="Q46" s="44"/>
      <c r="R46" s="45"/>
      <c r="S46" s="43">
        <v>26</v>
      </c>
      <c r="T46" s="44">
        <v>1.6</v>
      </c>
      <c r="U46" s="45">
        <v>3254.187334294452</v>
      </c>
      <c r="V46" s="44">
        <v>26</v>
      </c>
      <c r="W46" s="44">
        <v>1.6</v>
      </c>
      <c r="X46" s="56">
        <v>2610.2865040146876</v>
      </c>
      <c r="Y46" s="43">
        <v>24</v>
      </c>
      <c r="Z46" s="52">
        <v>1.4</v>
      </c>
      <c r="AA46" s="45">
        <v>1523.9865962564083</v>
      </c>
      <c r="AB46" s="43">
        <v>20.5</v>
      </c>
      <c r="AC46" s="52">
        <v>1.15</v>
      </c>
      <c r="AD46" s="45">
        <v>962.9995184999999</v>
      </c>
      <c r="AK46" s="23"/>
    </row>
    <row r="47" spans="1:37" ht="18.75">
      <c r="A47" s="7">
        <v>24</v>
      </c>
      <c r="B47" s="97" t="s">
        <v>63</v>
      </c>
      <c r="C47" s="107">
        <v>1.125</v>
      </c>
      <c r="D47" s="107">
        <v>1.125</v>
      </c>
      <c r="E47" s="107">
        <v>1.125</v>
      </c>
      <c r="F47" s="106">
        <v>1575</v>
      </c>
      <c r="G47" s="80">
        <f>(((2^(1/12)^23*$H$11/16)*F47*E47)^2*PI()*(IF(J47="Ferro",$R$11,IF(J47="Ottone",$R$12,IF(J47="Rame",$R$13)))*(((E47-C47)/2)^2+C47*(E47-C47)/2)+(C47^2*0.25*7.85))/((E47-C47)/2+C47*0.5)^2)/(10^9)</f>
        <v>842.2452699921703</v>
      </c>
      <c r="H47" s="81">
        <v>3</v>
      </c>
      <c r="I47" s="82"/>
      <c r="J47" s="83" t="s">
        <v>134</v>
      </c>
      <c r="K47" s="84">
        <v>0</v>
      </c>
      <c r="L47" s="17">
        <f aca="true" t="shared" si="2" ref="L47:L78">100/(IF($K47="XM",VLOOKUP(C47,$Q$16:$R$33,2),IF($K47="M",VLOOKUP(C47,$T$16:$U$47,2),IF($K47=0,VLOOKUP(C47,$W$16:$X$47,2),IF($K47=1,VLOOKUP(C47,$Z$16:$AA$50,2),IF($K47=2,VLOOKUP(C47,$AC$16:$AD$53,2)))))))*G47</f>
        <v>58.74935552404718</v>
      </c>
      <c r="M47" s="133"/>
      <c r="N47" s="24"/>
      <c r="O47" s="23"/>
      <c r="P47" s="42"/>
      <c r="Q47" s="57"/>
      <c r="R47" s="58"/>
      <c r="S47" s="42">
        <v>27</v>
      </c>
      <c r="T47" s="57">
        <v>1.7</v>
      </c>
      <c r="U47" s="58">
        <v>3631.9648326363276</v>
      </c>
      <c r="V47" s="42">
        <v>27</v>
      </c>
      <c r="W47" s="57">
        <v>1.7</v>
      </c>
      <c r="X47" s="58">
        <v>2919.5311403662067</v>
      </c>
      <c r="Y47" s="43">
        <v>24.5</v>
      </c>
      <c r="Z47" s="52">
        <v>1.45</v>
      </c>
      <c r="AA47" s="45">
        <v>1610.0171475795569</v>
      </c>
      <c r="AB47" s="43">
        <v>21</v>
      </c>
      <c r="AC47" s="52">
        <v>1.175</v>
      </c>
      <c r="AD47" s="45">
        <v>993.9995029999998</v>
      </c>
      <c r="AK47" s="23"/>
    </row>
    <row r="48" spans="1:30" ht="18.75">
      <c r="A48" s="8">
        <v>25</v>
      </c>
      <c r="B48" s="97" t="s">
        <v>64</v>
      </c>
      <c r="C48" s="103">
        <v>1.1</v>
      </c>
      <c r="D48" s="103">
        <v>1.1</v>
      </c>
      <c r="E48" s="103">
        <v>1.1</v>
      </c>
      <c r="F48" s="106">
        <v>1470</v>
      </c>
      <c r="G48" s="80">
        <f>(((2^(1/12)^24*$H$11/16)*F48*E48)^2*PI()*(IF(J48="Ferro",$R$11,IF(J48="Ottone",$R$12,IF(J48="Rame",$R$13)))*(((E48-C48)/2)^2+C48*(E48-C48)/2)+(C48^2*0.25*7.85))/((E48-C48)/2+C48*0.5)^2)/(10^9)</f>
        <v>787.3432803119293</v>
      </c>
      <c r="H48" s="81">
        <v>3</v>
      </c>
      <c r="I48" s="82"/>
      <c r="J48" s="83" t="s">
        <v>134</v>
      </c>
      <c r="K48" s="84">
        <v>0</v>
      </c>
      <c r="L48" s="17">
        <f t="shared" si="2"/>
        <v>56.97046984115525</v>
      </c>
      <c r="M48" s="18"/>
      <c r="N48" s="59"/>
      <c r="O48" s="60"/>
      <c r="S48" s="24"/>
      <c r="T48" s="24"/>
      <c r="U48" s="61"/>
      <c r="V48" s="24"/>
      <c r="W48" s="24"/>
      <c r="X48" s="61"/>
      <c r="Y48" s="43">
        <v>25</v>
      </c>
      <c r="Z48" s="44">
        <v>1.5</v>
      </c>
      <c r="AA48" s="62">
        <v>1696.46</v>
      </c>
      <c r="AB48" s="43">
        <v>21.5</v>
      </c>
      <c r="AC48" s="24">
        <v>1.2</v>
      </c>
      <c r="AD48" s="45">
        <v>1023.9994879999999</v>
      </c>
    </row>
    <row r="49" spans="1:30" ht="18.75">
      <c r="A49" s="7">
        <v>26</v>
      </c>
      <c r="B49" s="97" t="s">
        <v>65</v>
      </c>
      <c r="C49" s="103">
        <v>1.1</v>
      </c>
      <c r="D49" s="103">
        <v>1.1</v>
      </c>
      <c r="E49" s="106">
        <v>1.1</v>
      </c>
      <c r="F49" s="106">
        <v>1395</v>
      </c>
      <c r="G49" s="80">
        <f>(((2^(1/12)^25*$H$11/16)*F49*E49)^2*PI()*(IF(J49="Ferro",$R$11,IF(J49="Ottone",$R$12,IF(J49="Rame",$R$13)))*(((E49-C49)/2)^2+C49*(E49-C49)/2)+(C49^2*0.25*7.85))/((E49-C49)/2+C49*0.5)^2)/(10^9)</f>
        <v>795.8835656417389</v>
      </c>
      <c r="H49" s="81">
        <v>3</v>
      </c>
      <c r="I49" s="82"/>
      <c r="J49" s="83" t="s">
        <v>134</v>
      </c>
      <c r="K49" s="84">
        <v>0</v>
      </c>
      <c r="L49" s="17">
        <f t="shared" si="2"/>
        <v>57.58842655709244</v>
      </c>
      <c r="M49" s="18"/>
      <c r="N49" s="59"/>
      <c r="O49" s="60"/>
      <c r="Q49" s="24"/>
      <c r="R49" s="24"/>
      <c r="U49" s="63"/>
      <c r="V49" s="23"/>
      <c r="Y49" s="43">
        <v>25.5</v>
      </c>
      <c r="Z49" s="44">
        <v>1.55</v>
      </c>
      <c r="AA49" s="62">
        <v>1783.13</v>
      </c>
      <c r="AB49" s="43">
        <v>22</v>
      </c>
      <c r="AC49" s="24">
        <v>1.225</v>
      </c>
      <c r="AD49" s="45">
        <v>1053.9994729999999</v>
      </c>
    </row>
    <row r="50" spans="1:37" ht="18.75">
      <c r="A50" s="7">
        <v>27</v>
      </c>
      <c r="B50" s="97" t="s">
        <v>66</v>
      </c>
      <c r="C50" s="108">
        <v>1.1</v>
      </c>
      <c r="D50" s="108">
        <v>1.1</v>
      </c>
      <c r="E50" s="106">
        <v>1.1</v>
      </c>
      <c r="F50" s="106">
        <v>1325</v>
      </c>
      <c r="G50" s="80">
        <f>(((2^(1/12)^26*$H$11/16)*F50*E50)^2*PI()*(IF(J50="Ferro",$R$11,IF(J50="Ottone",$R$12,IF(J50="Rame",$R$13)))*(((E50-C50)/2)^2+C50*(E50-C50)/2)+(C50^2*0.25*7.85))/((E50-C50)/2+C50*0.5)^2)/(10^9)</f>
        <v>805.9434020415126</v>
      </c>
      <c r="H50" s="81">
        <v>3</v>
      </c>
      <c r="I50" s="82"/>
      <c r="J50" s="83" t="s">
        <v>134</v>
      </c>
      <c r="K50" s="84">
        <v>0</v>
      </c>
      <c r="L50" s="17">
        <f t="shared" si="2"/>
        <v>58.31633472694843</v>
      </c>
      <c r="M50" s="134"/>
      <c r="N50" s="59"/>
      <c r="O50" s="60"/>
      <c r="Q50" s="24"/>
      <c r="R50" s="24"/>
      <c r="U50" s="63"/>
      <c r="V50" s="23"/>
      <c r="Y50" s="42">
        <v>26</v>
      </c>
      <c r="Z50" s="57">
        <v>1.6</v>
      </c>
      <c r="AA50" s="64">
        <v>1869.87</v>
      </c>
      <c r="AB50" s="43">
        <v>22.5</v>
      </c>
      <c r="AC50" s="24">
        <v>1.25</v>
      </c>
      <c r="AD50" s="45">
        <v>1083.9994579999998</v>
      </c>
      <c r="AK50" s="23"/>
    </row>
    <row r="51" spans="1:37" ht="18.75">
      <c r="A51" s="7">
        <v>28</v>
      </c>
      <c r="B51" s="97" t="s">
        <v>67</v>
      </c>
      <c r="C51" s="108">
        <v>1.1</v>
      </c>
      <c r="D51" s="108">
        <v>1.1</v>
      </c>
      <c r="E51" s="106">
        <v>1.1</v>
      </c>
      <c r="F51" s="106">
        <v>1247</v>
      </c>
      <c r="G51" s="80">
        <f>(((2^(1/12)^27*$H$11/16)*F51*E51)^2*PI()*(IF(J51="Ferro",$R$11,IF(J51="Ottone",$R$12,IF(J51="Rame",$R$13)))*(((E51-C51)/2)^2+C51*(E51-C51)/2)+(C51^2*0.25*7.85))/((E51-C51)/2+C51*0.5)^2)/(10^9)</f>
        <v>801.2671915053503</v>
      </c>
      <c r="H51" s="81">
        <v>3</v>
      </c>
      <c r="I51" s="82"/>
      <c r="J51" s="83" t="s">
        <v>134</v>
      </c>
      <c r="K51" s="84">
        <v>0</v>
      </c>
      <c r="L51" s="17">
        <f t="shared" si="2"/>
        <v>57.97797416938352</v>
      </c>
      <c r="M51" s="18"/>
      <c r="N51" s="59"/>
      <c r="O51" s="60"/>
      <c r="Q51" s="24"/>
      <c r="R51" s="24"/>
      <c r="AB51" s="43">
        <v>23</v>
      </c>
      <c r="AC51" s="24">
        <v>1.3</v>
      </c>
      <c r="AD51" s="45">
        <v>1157.9994209999998</v>
      </c>
      <c r="AK51" s="23"/>
    </row>
    <row r="52" spans="1:37" ht="18.75">
      <c r="A52" s="7">
        <v>29</v>
      </c>
      <c r="B52" s="97" t="s">
        <v>68</v>
      </c>
      <c r="C52" s="108">
        <v>1.1</v>
      </c>
      <c r="D52" s="108">
        <v>1.1</v>
      </c>
      <c r="E52" s="106">
        <v>1.1</v>
      </c>
      <c r="F52" s="106">
        <v>1178</v>
      </c>
      <c r="G52" s="80">
        <f>(((2^(1/12)^28*$H$11/16)*F52*E52)^2*PI()*(IF(J52="Ferro",$R$11,IF(J52="Ottone",$R$12,IF(J52="Rame",$R$13)))*(((E52-C52)/2)^2+C52*(E52-C52)/2)+(C52^2*0.25*7.85))/((E52-C52)/2+C52*0.5)^2)/(10^9)</f>
        <v>802.6139438394983</v>
      </c>
      <c r="H52" s="81">
        <v>3</v>
      </c>
      <c r="I52" s="82"/>
      <c r="J52" s="83" t="s">
        <v>134</v>
      </c>
      <c r="K52" s="84">
        <v>0</v>
      </c>
      <c r="L52" s="17">
        <f t="shared" si="2"/>
        <v>58.07542227766698</v>
      </c>
      <c r="M52" s="18"/>
      <c r="N52" s="59"/>
      <c r="O52" s="60"/>
      <c r="Q52" s="24"/>
      <c r="R52" s="24"/>
      <c r="S52" s="61"/>
      <c r="AA52" s="24"/>
      <c r="AB52" s="43">
        <v>23.5</v>
      </c>
      <c r="AC52" s="52">
        <v>1.35</v>
      </c>
      <c r="AD52" s="45">
        <v>1231.999384</v>
      </c>
      <c r="AK52" s="23"/>
    </row>
    <row r="53" spans="1:30" ht="18.75">
      <c r="A53" s="7">
        <v>30</v>
      </c>
      <c r="B53" s="97" t="s">
        <v>69</v>
      </c>
      <c r="C53" s="107">
        <v>1.1</v>
      </c>
      <c r="D53" s="107">
        <v>1.1</v>
      </c>
      <c r="E53" s="109">
        <v>1.1</v>
      </c>
      <c r="F53" s="106">
        <v>1107</v>
      </c>
      <c r="G53" s="80">
        <f>(((2^(1/12)^29*$H$11/16)*F53*E53)^2*PI()*(IF(J53="Ferro",$R$11,IF(J53="Ottone",$R$12,IF(J53="Rame",$R$13)))*(((E53-C53)/2)^2+C53*(E53-C53)/2)+(C53^2*0.25*7.85))/((E53-C53)/2+C53*0.5)^2)/(10^9)</f>
        <v>795.5784802066108</v>
      </c>
      <c r="H53" s="81">
        <v>3</v>
      </c>
      <c r="I53" s="82"/>
      <c r="J53" s="83" t="s">
        <v>134</v>
      </c>
      <c r="K53" s="84">
        <v>0</v>
      </c>
      <c r="L53" s="17">
        <f t="shared" si="2"/>
        <v>57.56635122982979</v>
      </c>
      <c r="M53" s="18"/>
      <c r="N53" s="59"/>
      <c r="O53" s="60"/>
      <c r="Q53" s="24"/>
      <c r="R53" s="24"/>
      <c r="S53" s="61"/>
      <c r="T53" s="22"/>
      <c r="AA53" s="24"/>
      <c r="AB53" s="42">
        <v>24</v>
      </c>
      <c r="AC53" s="65">
        <v>1.4</v>
      </c>
      <c r="AD53" s="58">
        <v>1307.9993459999998</v>
      </c>
    </row>
    <row r="54" spans="1:20" ht="18.75">
      <c r="A54" s="7">
        <v>31</v>
      </c>
      <c r="B54" s="97" t="s">
        <v>70</v>
      </c>
      <c r="C54" s="103">
        <v>1.05</v>
      </c>
      <c r="D54" s="103">
        <v>1.05</v>
      </c>
      <c r="E54" s="106">
        <v>1.05</v>
      </c>
      <c r="F54" s="106">
        <v>1037</v>
      </c>
      <c r="G54" s="80">
        <f>(((2^(1/12)^30*$H$11/16)*F54*E54)^2*PI()*(IF(J54="Ferro",$R$11,IF(J54="Ottone",$R$12,IF(J54="Rame",$R$13)))*(((E54-C54)/2)^2+C54*(E54-C54)/2)+(C54^2*0.25*7.85))/((E54-C54)/2+C54*0.5)^2)/(10^9)</f>
        <v>714.0196964123458</v>
      </c>
      <c r="H54" s="81">
        <v>3</v>
      </c>
      <c r="I54" s="82"/>
      <c r="J54" s="83" t="s">
        <v>134</v>
      </c>
      <c r="K54" s="84">
        <v>0</v>
      </c>
      <c r="L54" s="17">
        <f t="shared" si="2"/>
        <v>55.78196706005757</v>
      </c>
      <c r="M54" s="18"/>
      <c r="N54" s="59"/>
      <c r="O54" s="60"/>
      <c r="T54" s="22"/>
    </row>
    <row r="55" spans="1:17" ht="18.75">
      <c r="A55" s="7">
        <v>32</v>
      </c>
      <c r="B55" s="97" t="s">
        <v>71</v>
      </c>
      <c r="C55" s="103">
        <v>1.05</v>
      </c>
      <c r="D55" s="103">
        <v>1.05</v>
      </c>
      <c r="E55" s="103">
        <v>1.05</v>
      </c>
      <c r="F55" s="106">
        <v>972</v>
      </c>
      <c r="G55" s="80">
        <f>(((2^(1/12)^31*$H$11/16)*F55*E55)^2*PI()*(IF(J55="Ferro",$R$11,IF(J55="Ottone",$R$12,IF(J55="Rame",$R$13)))*(((E55-C55)/2)^2+C55*(E55-C55)/2)+(C55^2*0.25*7.85))/((E55-C55)/2+C55*0.5)^2)/(10^9)</f>
        <v>704.1365289520303</v>
      </c>
      <c r="H55" s="81">
        <v>3</v>
      </c>
      <c r="I55" s="82"/>
      <c r="J55" s="83" t="s">
        <v>134</v>
      </c>
      <c r="K55" s="84">
        <v>0</v>
      </c>
      <c r="L55" s="17">
        <f t="shared" si="2"/>
        <v>55.00985597616111</v>
      </c>
      <c r="M55" s="24"/>
      <c r="N55" s="59"/>
      <c r="O55" s="60"/>
      <c r="P55" s="20"/>
      <c r="Q55" s="61"/>
    </row>
    <row r="56" spans="1:21" ht="18.75">
      <c r="A56" s="7">
        <v>33</v>
      </c>
      <c r="B56" s="97" t="s">
        <v>72</v>
      </c>
      <c r="C56" s="103">
        <v>1.05</v>
      </c>
      <c r="D56" s="103">
        <v>1.05</v>
      </c>
      <c r="E56" s="103">
        <v>1.05</v>
      </c>
      <c r="F56" s="103">
        <v>912</v>
      </c>
      <c r="G56" s="80">
        <f>(((2^(1/12)^32*$H$11/16)*F56*E56)^2*PI()*(IF(J56="Ferro",$R$11,IF(J56="Ottone",$R$12,IF(J56="Rame",$R$13)))*(((E56-C56)/2)^2+C56*(E56-C56)/2)+(C56^2*0.25*7.85))/((E56-C56)/2+C56*0.5)^2)/(10^9)</f>
        <v>695.802024175042</v>
      </c>
      <c r="H56" s="81">
        <v>3</v>
      </c>
      <c r="I56" s="82"/>
      <c r="J56" s="83" t="s">
        <v>134</v>
      </c>
      <c r="K56" s="84">
        <v>0</v>
      </c>
      <c r="L56" s="17">
        <f t="shared" si="2"/>
        <v>54.35873238213723</v>
      </c>
      <c r="M56" s="18"/>
      <c r="N56" s="59"/>
      <c r="O56" s="60"/>
      <c r="P56" s="20"/>
      <c r="R56" s="22"/>
      <c r="S56" s="22"/>
      <c r="T56" s="22"/>
      <c r="U56" s="22"/>
    </row>
    <row r="57" spans="1:21" ht="18.75">
      <c r="A57" s="7">
        <v>34</v>
      </c>
      <c r="B57" s="97" t="s">
        <v>73</v>
      </c>
      <c r="C57" s="103">
        <v>1.05</v>
      </c>
      <c r="D57" s="103">
        <v>1.05</v>
      </c>
      <c r="E57" s="103">
        <v>1.05</v>
      </c>
      <c r="F57" s="103">
        <v>855</v>
      </c>
      <c r="G57" s="80">
        <f>(((2^(1/12)^33*$H$11/16)*F57*E57)^2*PI()*(IF(J57="Ferro",$R$11,IF(J57="Ottone",$R$12,IF(J57="Rame",$R$13)))*(((E57-C57)/2)^2+C57*(E57-C57)/2)+(C57^2*0.25*7.85))/((E57-C57)/2+C57*0.5)^2)/(10^9)</f>
        <v>686.4357702597588</v>
      </c>
      <c r="H57" s="81">
        <v>3</v>
      </c>
      <c r="I57" s="82"/>
      <c r="J57" s="83" t="s">
        <v>134</v>
      </c>
      <c r="K57" s="84">
        <v>0</v>
      </c>
      <c r="L57" s="17">
        <f t="shared" si="2"/>
        <v>53.627004574061836</v>
      </c>
      <c r="M57" s="18"/>
      <c r="T57" s="22"/>
      <c r="U57" s="24"/>
    </row>
    <row r="58" spans="1:49" ht="18.75">
      <c r="A58" s="7">
        <v>35</v>
      </c>
      <c r="B58" s="97" t="s">
        <v>74</v>
      </c>
      <c r="C58" s="107">
        <v>1.05</v>
      </c>
      <c r="D58" s="107">
        <v>1.05</v>
      </c>
      <c r="E58" s="107">
        <v>1.05</v>
      </c>
      <c r="F58" s="103">
        <v>808</v>
      </c>
      <c r="G58" s="80">
        <f>(((2^(1/12)^34*$H$11/16)*F58*E58)^2*PI()*(IF(J58="Ferro",$R$11,IF(J58="Ottone",$R$12,IF(J58="Rame",$R$13)))*(((E58-C58)/2)^2+C58*(E58-C58)/2)+(C58^2*0.25*7.85))/((E58-C58)/2+C58*0.5)^2)/(10^9)</f>
        <v>688.1166472111655</v>
      </c>
      <c r="H58" s="81">
        <v>3</v>
      </c>
      <c r="I58" s="82"/>
      <c r="J58" s="83" t="s">
        <v>134</v>
      </c>
      <c r="K58" s="84">
        <v>0</v>
      </c>
      <c r="L58" s="17">
        <f t="shared" si="2"/>
        <v>53.75832115147069</v>
      </c>
      <c r="M58" s="18"/>
      <c r="R58" s="66"/>
      <c r="S58" s="61"/>
      <c r="T58" s="22"/>
      <c r="U58" s="24"/>
      <c r="AW58" s="3"/>
    </row>
    <row r="59" spans="1:49" ht="18.75">
      <c r="A59" s="7">
        <v>36</v>
      </c>
      <c r="B59" s="95" t="s">
        <v>75</v>
      </c>
      <c r="C59" s="103">
        <v>1</v>
      </c>
      <c r="D59" s="103">
        <v>1</v>
      </c>
      <c r="E59" s="103">
        <v>1</v>
      </c>
      <c r="F59" s="103">
        <v>760</v>
      </c>
      <c r="G59" s="80">
        <f>(((2^(1/12)^35*$H$11/16)*F59*E59)^2*PI()*(IF(J59="Ferro",$R$11,IF(J59="Ottone",$R$12,IF(J59="Rame",$R$13)))*(((E59-C59)/2)^2+C59*(E59-C59)/2)+(C59^2*0.25*7.85))/((E59-C59)/2+C59*0.5)^2)/(10^9)</f>
        <v>619.8114508156946</v>
      </c>
      <c r="H59" s="81">
        <v>3</v>
      </c>
      <c r="I59" s="82"/>
      <c r="J59" s="83" t="s">
        <v>134</v>
      </c>
      <c r="K59" s="84">
        <v>0</v>
      </c>
      <c r="L59" s="17">
        <f t="shared" si="2"/>
        <v>52.53243131690569</v>
      </c>
      <c r="M59" s="18"/>
      <c r="R59" s="24"/>
      <c r="S59" s="61"/>
      <c r="T59" s="22"/>
      <c r="U59" s="24"/>
      <c r="AW59" s="3"/>
    </row>
    <row r="60" spans="1:21" ht="18.75">
      <c r="A60" s="8">
        <v>37</v>
      </c>
      <c r="B60" s="96" t="s">
        <v>76</v>
      </c>
      <c r="C60" s="103">
        <v>1</v>
      </c>
      <c r="D60" s="103">
        <v>1</v>
      </c>
      <c r="E60" s="103">
        <v>1</v>
      </c>
      <c r="F60" s="103">
        <v>727</v>
      </c>
      <c r="G60" s="80">
        <f>(((2^(1/12)^36*$H$11/16)*F60*E60)^2*PI()*(IF(J60="Ferro",$R$11,IF(J60="Ottone",$R$12,IF(J60="Rame",$R$13)))*(((E60-C60)/2)^2+C60*(E60-C60)/2)+(C60^2*0.25*7.85))/((E60-C60)/2+C60*0.5)^2)/(10^9)</f>
        <v>636.6091823539759</v>
      </c>
      <c r="H60" s="81">
        <v>3</v>
      </c>
      <c r="I60" s="82"/>
      <c r="J60" s="83" t="s">
        <v>134</v>
      </c>
      <c r="K60" s="84">
        <v>0</v>
      </c>
      <c r="L60" s="17">
        <f t="shared" si="2"/>
        <v>53.956131503717785</v>
      </c>
      <c r="M60" s="18"/>
      <c r="R60" s="24"/>
      <c r="S60" s="61"/>
      <c r="T60" s="22"/>
      <c r="U60" s="24"/>
    </row>
    <row r="61" spans="1:13" ht="18.75">
      <c r="A61" s="7">
        <v>38</v>
      </c>
      <c r="B61" s="95" t="s">
        <v>77</v>
      </c>
      <c r="C61" s="103">
        <v>1</v>
      </c>
      <c r="D61" s="103">
        <v>1</v>
      </c>
      <c r="E61" s="103">
        <v>1</v>
      </c>
      <c r="F61" s="103">
        <v>695</v>
      </c>
      <c r="G61" s="80">
        <f>(((2^(1/12)^37*$H$11/16)*F61*E61)^2*PI()*(IF(J61="Ferro",$R$11,IF(J61="Ottone",$R$12,IF(J61="Rame",$R$13)))*(((E61-C61)/2)^2+C61*(E61-C61)/2)+(C61^2*0.25*7.85))/((E61-C61)/2+C61*0.5)^2)/(10^9)</f>
        <v>653.0483732101933</v>
      </c>
      <c r="H61" s="81">
        <v>3</v>
      </c>
      <c r="I61" s="82"/>
      <c r="J61" s="83" t="s">
        <v>134</v>
      </c>
      <c r="K61" s="84">
        <v>0</v>
      </c>
      <c r="L61" s="17">
        <f t="shared" si="2"/>
        <v>55.34944339465369</v>
      </c>
      <c r="M61" s="18"/>
    </row>
    <row r="62" spans="1:13" ht="18.75">
      <c r="A62" s="7">
        <v>39</v>
      </c>
      <c r="B62" s="95" t="s">
        <v>78</v>
      </c>
      <c r="C62" s="103">
        <v>1</v>
      </c>
      <c r="D62" s="103">
        <v>1</v>
      </c>
      <c r="E62" s="103">
        <v>1</v>
      </c>
      <c r="F62" s="103">
        <v>663</v>
      </c>
      <c r="G62" s="80">
        <f>(((2^(1/12)^38*$H$11/16)*F62*E62)^2*PI()*(IF(J62="Ferro",$R$11,IF(J62="Ottone",$R$12,IF(J62="Rame",$R$13)))*(((E62-C62)/2)^2+C62*(E62-C62)/2)+(C62^2*0.25*7.85))/((E62-C62)/2+C62*0.5)^2)/(10^9)</f>
        <v>667.0746937584647</v>
      </c>
      <c r="H62" s="81">
        <v>3</v>
      </c>
      <c r="I62" s="82"/>
      <c r="J62" s="83" t="s">
        <v>134</v>
      </c>
      <c r="K62" s="84">
        <v>0</v>
      </c>
      <c r="L62" s="17">
        <f t="shared" si="2"/>
        <v>56.53825124881848</v>
      </c>
      <c r="M62" s="18"/>
    </row>
    <row r="63" spans="1:21" ht="18.75">
      <c r="A63" s="7">
        <v>40</v>
      </c>
      <c r="B63" s="97" t="s">
        <v>79</v>
      </c>
      <c r="C63" s="103">
        <v>1</v>
      </c>
      <c r="D63" s="103">
        <v>1</v>
      </c>
      <c r="E63" s="103">
        <v>1</v>
      </c>
      <c r="F63" s="103">
        <v>632</v>
      </c>
      <c r="G63" s="80">
        <f>(((2^(1/12)^39*$H$11/16)*F63*E63)^2*PI()*(IF(J63="Ferro",$R$11,IF(J63="Ottone",$R$12,IF(J63="Rame",$R$13)))*(((E63-C63)/2)^2+C63*(E63-C63)/2)+(C63^2*0.25*7.85))/((E63-C63)/2+C63*0.5)^2)/(10^9)</f>
        <v>680.382651235556</v>
      </c>
      <c r="H63" s="81">
        <v>3</v>
      </c>
      <c r="I63" s="82"/>
      <c r="J63" s="83" t="s">
        <v>134</v>
      </c>
      <c r="K63" s="84">
        <v>0</v>
      </c>
      <c r="L63" s="17">
        <f t="shared" si="2"/>
        <v>57.66617387950489</v>
      </c>
      <c r="M63" s="18"/>
      <c r="R63" s="24"/>
      <c r="S63" s="61"/>
      <c r="T63" s="22"/>
      <c r="U63" s="24"/>
    </row>
    <row r="64" spans="1:21" ht="18">
      <c r="A64" s="7">
        <v>41</v>
      </c>
      <c r="B64" s="97" t="s">
        <v>80</v>
      </c>
      <c r="C64" s="103">
        <v>1</v>
      </c>
      <c r="D64" s="103">
        <v>1</v>
      </c>
      <c r="E64" s="103">
        <v>1</v>
      </c>
      <c r="F64" s="103">
        <v>600</v>
      </c>
      <c r="G64" s="80">
        <f>(((2^(1/12)^40*$H$11/16)*F64*E64)^2*PI()*(IF(J64="Ferro",$R$11,IF(J64="Ottone",$R$12,IF(J64="Rame",$R$13)))*(((E64-C64)/2)^2+C64*(E64-C64)/2)+(C64^2*0.25*7.85))/((E64-C64)/2+C64*0.5)^2)/(10^9)</f>
        <v>688.3245212165729</v>
      </c>
      <c r="H64" s="81">
        <v>3</v>
      </c>
      <c r="I64" s="82"/>
      <c r="J64" s="83" t="s">
        <v>134</v>
      </c>
      <c r="K64" s="84">
        <v>0</v>
      </c>
      <c r="L64" s="17">
        <f t="shared" si="2"/>
        <v>58.33929106499171</v>
      </c>
      <c r="M64" s="18"/>
      <c r="R64" s="24"/>
      <c r="S64" s="61"/>
      <c r="T64" s="22"/>
      <c r="U64" s="24"/>
    </row>
    <row r="65" spans="1:21" ht="18">
      <c r="A65" s="7">
        <v>42</v>
      </c>
      <c r="B65" s="97" t="s">
        <v>81</v>
      </c>
      <c r="C65" s="103">
        <v>1</v>
      </c>
      <c r="D65" s="103">
        <v>1</v>
      </c>
      <c r="E65" s="103">
        <v>1</v>
      </c>
      <c r="F65" s="103">
        <v>570</v>
      </c>
      <c r="G65" s="80">
        <f>(((2^(1/12)^41*$H$11/16)*F65*E65)^2*PI()*(IF(J65="Ferro",$R$11,IF(J65="Ottone",$R$12,IF(J65="Rame",$R$13)))*(((E65-C65)/2)^2+C65*(E65-C65)/2)+(C65^2*0.25*7.85))/((E65-C65)/2+C65*0.5)^2)/(10^9)</f>
        <v>697.2878821676568</v>
      </c>
      <c r="H65" s="81">
        <v>3</v>
      </c>
      <c r="I65" s="82"/>
      <c r="J65" s="83" t="s">
        <v>134</v>
      </c>
      <c r="K65" s="84">
        <v>0</v>
      </c>
      <c r="L65" s="17">
        <f t="shared" si="2"/>
        <v>59.098985231518924</v>
      </c>
      <c r="M65" s="18"/>
      <c r="R65" s="24"/>
      <c r="S65" s="61"/>
      <c r="T65" s="22"/>
      <c r="U65" s="24"/>
    </row>
    <row r="66" spans="1:27" ht="18">
      <c r="A66" s="7">
        <v>43</v>
      </c>
      <c r="B66" s="97" t="s">
        <v>82</v>
      </c>
      <c r="C66" s="107">
        <v>1</v>
      </c>
      <c r="D66" s="107">
        <v>1</v>
      </c>
      <c r="E66" s="107">
        <v>1</v>
      </c>
      <c r="F66" s="103">
        <v>540</v>
      </c>
      <c r="G66" s="80">
        <f>(((2^(1/12)^42*$H$11/16)*F66*E66)^2*PI()*(IF(J66="Ferro",$R$11,IF(J66="Ottone",$R$12,IF(J66="Rame",$R$13)))*(((E66-C66)/2)^2+C66*(E66-C66)/2)+(C66^2*0.25*7.85))/((E66-C66)/2+C66*0.5)^2)/(10^9)</f>
        <v>702.4599882860522</v>
      </c>
      <c r="H66" s="81">
        <v>3</v>
      </c>
      <c r="I66" s="82"/>
      <c r="J66" s="83" t="s">
        <v>134</v>
      </c>
      <c r="K66" s="84">
        <v>0</v>
      </c>
      <c r="L66" s="17">
        <f t="shared" si="2"/>
        <v>59.53734968746885</v>
      </c>
      <c r="M66" s="18"/>
      <c r="R66" s="24"/>
      <c r="S66" s="61"/>
      <c r="T66" s="22"/>
      <c r="U66" s="24"/>
      <c r="Z66" s="24"/>
      <c r="AA66" s="24"/>
    </row>
    <row r="67" spans="1:27" ht="18">
      <c r="A67" s="7">
        <v>44</v>
      </c>
      <c r="B67" s="97" t="s">
        <v>83</v>
      </c>
      <c r="C67" s="103">
        <v>0.925</v>
      </c>
      <c r="D67" s="103">
        <v>0.925</v>
      </c>
      <c r="E67" s="103">
        <v>0.925</v>
      </c>
      <c r="F67" s="103">
        <v>515</v>
      </c>
      <c r="G67" s="80">
        <f>(((2^(1/12)^43*$H$11/16)*F67*E67)^2*PI()*(IF(J67="Ferro",$R$11,IF(J67="Ottone",$R$12,IF(J67="Rame",$R$13)))*(((E67-C67)/2)^2+C67*(E67-C67)/2)+(C67^2*0.25*7.85))/((E67-C67)/2+C67*0.5)^2)/(10^9)</f>
        <v>613.625871591062</v>
      </c>
      <c r="H67" s="81">
        <v>3</v>
      </c>
      <c r="I67" s="82"/>
      <c r="J67" s="83" t="s">
        <v>134</v>
      </c>
      <c r="K67" s="84">
        <v>0</v>
      </c>
      <c r="L67" s="17">
        <f t="shared" si="2"/>
        <v>59.36129836534875</v>
      </c>
      <c r="M67" s="18"/>
      <c r="T67" s="67"/>
      <c r="U67" s="67"/>
      <c r="Z67" s="24"/>
      <c r="AA67" s="24"/>
    </row>
    <row r="68" spans="1:26" ht="18">
      <c r="A68" s="7">
        <v>45</v>
      </c>
      <c r="B68" s="97" t="s">
        <v>84</v>
      </c>
      <c r="C68" s="103">
        <v>0.925</v>
      </c>
      <c r="D68" s="103">
        <v>0.925</v>
      </c>
      <c r="E68" s="103">
        <v>0.925</v>
      </c>
      <c r="F68" s="103">
        <v>487</v>
      </c>
      <c r="G68" s="80">
        <f>(((2^(1/12)^44*$H$11/16)*F68*E68)^2*PI()*(IF(J68="Ferro",$R$11,IF(J68="Ottone",$R$12,IF(J68="Rame",$R$13)))*(((E68-C68)/2)^2+C68*(E68-C68)/2)+(C68^2*0.25*7.85))/((E68-C68)/2+C68*0.5)^2)/(10^9)</f>
        <v>615.912179550417</v>
      </c>
      <c r="H68" s="81">
        <v>3</v>
      </c>
      <c r="I68" s="82"/>
      <c r="J68" s="83" t="s">
        <v>134</v>
      </c>
      <c r="K68" s="84">
        <v>0</v>
      </c>
      <c r="L68" s="17">
        <f t="shared" si="2"/>
        <v>59.582472561571024</v>
      </c>
      <c r="M68" s="18"/>
      <c r="T68" s="67"/>
      <c r="U68" s="67"/>
      <c r="V68" s="67"/>
      <c r="W68" s="67"/>
      <c r="Y68" s="67"/>
      <c r="Z68" s="67"/>
    </row>
    <row r="69" spans="1:26" ht="18">
      <c r="A69" s="7">
        <v>46</v>
      </c>
      <c r="B69" s="97" t="s">
        <v>85</v>
      </c>
      <c r="C69" s="103">
        <v>0.925</v>
      </c>
      <c r="D69" s="103">
        <v>0.925</v>
      </c>
      <c r="E69" s="103">
        <v>0.925</v>
      </c>
      <c r="F69" s="103">
        <v>460</v>
      </c>
      <c r="G69" s="80">
        <f>(((2^(1/12)^45*$H$11/16)*F69*E69)^2*PI()*(IF(J69="Ferro",$R$11,IF(J69="Ottone",$R$12,IF(J69="Rame",$R$13)))*(((E69-C69)/2)^2+C69*(E69-C69)/2)+(C69^2*0.25*7.85))/((E69-C69)/2+C69*0.5)^2)/(10^9)</f>
        <v>616.8054453506056</v>
      </c>
      <c r="H69" s="81">
        <v>3</v>
      </c>
      <c r="I69" s="82"/>
      <c r="J69" s="83" t="s">
        <v>134</v>
      </c>
      <c r="K69" s="84">
        <v>0</v>
      </c>
      <c r="L69" s="17">
        <f t="shared" si="2"/>
        <v>59.66888583086012</v>
      </c>
      <c r="M69" s="24"/>
      <c r="N69" s="24"/>
      <c r="O69" s="24"/>
      <c r="P69" s="61"/>
      <c r="Q69" s="22"/>
      <c r="T69" s="67"/>
      <c r="U69" s="67"/>
      <c r="V69" s="67"/>
      <c r="W69" s="67"/>
      <c r="Y69" s="67"/>
      <c r="Z69" s="67"/>
    </row>
    <row r="70" spans="1:26" ht="18">
      <c r="A70" s="7">
        <v>47</v>
      </c>
      <c r="B70" s="97" t="s">
        <v>86</v>
      </c>
      <c r="C70" s="103">
        <v>0.925</v>
      </c>
      <c r="D70" s="103">
        <v>0.925</v>
      </c>
      <c r="E70" s="103">
        <v>0.925</v>
      </c>
      <c r="F70" s="103">
        <v>437</v>
      </c>
      <c r="G70" s="80">
        <f>(((2^(1/12)^46*$H$11/16)*F70*E70)^2*PI()*(IF(J70="Ferro",$R$11,IF(J70="Ottone",$R$12,IF(J70="Rame",$R$13)))*(((E70-C70)/2)^2+C70*(E70-C70)/2)+(C70^2*0.25*7.85))/((E70-C70)/2+C70*0.5)^2)/(10^9)</f>
        <v>624.837484995946</v>
      </c>
      <c r="H70" s="81">
        <v>3</v>
      </c>
      <c r="I70" s="82"/>
      <c r="J70" s="83" t="s">
        <v>134</v>
      </c>
      <c r="K70" s="84">
        <v>0</v>
      </c>
      <c r="L70" s="17">
        <f t="shared" si="2"/>
        <v>60.44589397856598</v>
      </c>
      <c r="M70" s="55"/>
      <c r="N70" s="24"/>
      <c r="O70" s="24"/>
      <c r="P70" s="61"/>
      <c r="Q70" s="22"/>
      <c r="T70" s="67"/>
      <c r="U70" s="67"/>
      <c r="V70" s="67"/>
      <c r="W70" s="67"/>
      <c r="Y70" s="67"/>
      <c r="Z70" s="67"/>
    </row>
    <row r="71" spans="1:26" ht="18">
      <c r="A71" s="7">
        <v>48</v>
      </c>
      <c r="B71" s="95" t="s">
        <v>87</v>
      </c>
      <c r="C71" s="103">
        <v>0.925</v>
      </c>
      <c r="D71" s="103">
        <v>0.925</v>
      </c>
      <c r="E71" s="103">
        <v>0.925</v>
      </c>
      <c r="F71" s="103">
        <v>415</v>
      </c>
      <c r="G71" s="80">
        <f>(((2^(1/12)^47*$H$11/16)*F71*E71)^2*PI()*(IF(J71="Ferro",$R$11,IF(J71="Ottone",$R$12,IF(J71="Rame",$R$13)))*(((E71-C71)/2)^2+C71*(E71-C71)/2)+(C71^2*0.25*7.85))/((E71-C71)/2+C71*0.5)^2)/(10^9)</f>
        <v>632.5167941603512</v>
      </c>
      <c r="H71" s="81">
        <v>3</v>
      </c>
      <c r="I71" s="82"/>
      <c r="J71" s="83" t="s">
        <v>134</v>
      </c>
      <c r="K71" s="84">
        <v>0</v>
      </c>
      <c r="L71" s="17">
        <f t="shared" si="2"/>
        <v>61.18877947875852</v>
      </c>
      <c r="M71" s="18"/>
      <c r="O71" s="67"/>
      <c r="P71" s="67"/>
      <c r="T71" s="67"/>
      <c r="U71" s="67"/>
      <c r="V71" s="67"/>
      <c r="W71" s="67"/>
      <c r="Y71" s="67"/>
      <c r="Z71" s="67"/>
    </row>
    <row r="72" spans="1:26" ht="18">
      <c r="A72" s="8">
        <v>49</v>
      </c>
      <c r="B72" s="96" t="s">
        <v>88</v>
      </c>
      <c r="C72" s="107">
        <v>0.925</v>
      </c>
      <c r="D72" s="107">
        <v>0.925</v>
      </c>
      <c r="E72" s="107">
        <v>0.925</v>
      </c>
      <c r="F72" s="107">
        <v>390</v>
      </c>
      <c r="G72" s="80">
        <f>(((2^(1/12)^48*$H$11/16)*F72*E72)^2*PI()*(IF(J72="Ferro",$R$11,IF(J72="Ottone",$R$12,IF(J72="Rame",$R$13)))*(((E72-C72)/2)^2+C72*(E72-C72)/2)+(C72^2*0.25*7.85))/((E72-C72)/2+C72*0.5)^2)/(10^9)</f>
        <v>627.0132922447889</v>
      </c>
      <c r="H72" s="81">
        <v>3</v>
      </c>
      <c r="I72" s="82"/>
      <c r="J72" s="83"/>
      <c r="K72" s="84">
        <v>0</v>
      </c>
      <c r="L72" s="17">
        <f t="shared" si="2"/>
        <v>60.65637849244274</v>
      </c>
      <c r="M72" s="18"/>
      <c r="O72" s="67"/>
      <c r="P72" s="67"/>
      <c r="T72" s="67"/>
      <c r="U72" s="67"/>
      <c r="V72" s="67"/>
      <c r="W72" s="67"/>
      <c r="Y72" s="67"/>
      <c r="Z72" s="67"/>
    </row>
    <row r="73" spans="1:26" ht="18">
      <c r="A73" s="7">
        <v>50</v>
      </c>
      <c r="B73" s="95" t="s">
        <v>89</v>
      </c>
      <c r="C73" s="103">
        <v>0.925</v>
      </c>
      <c r="D73" s="103">
        <v>0.925</v>
      </c>
      <c r="E73" s="103">
        <v>0.925</v>
      </c>
      <c r="F73" s="103">
        <v>373</v>
      </c>
      <c r="G73" s="87">
        <f>((2^(1/12)^49)*((H$11+0.125)/16)*(E73*F73))^2*PI()*7.85/(10^9)</f>
        <v>644.1432647722759</v>
      </c>
      <c r="H73" s="81">
        <v>3</v>
      </c>
      <c r="I73" s="82"/>
      <c r="J73" s="83"/>
      <c r="K73" s="84">
        <v>0</v>
      </c>
      <c r="L73" s="17">
        <f t="shared" si="2"/>
        <v>62.31350779104579</v>
      </c>
      <c r="M73" s="18"/>
      <c r="O73" s="67"/>
      <c r="P73" s="67"/>
      <c r="T73" s="67"/>
      <c r="U73" s="67"/>
      <c r="V73" s="67"/>
      <c r="W73" s="67"/>
      <c r="Y73" s="67"/>
      <c r="Z73" s="67"/>
    </row>
    <row r="74" spans="1:26" ht="18">
      <c r="A74" s="7">
        <v>51</v>
      </c>
      <c r="B74" s="95" t="s">
        <v>90</v>
      </c>
      <c r="C74" s="107">
        <v>0.925</v>
      </c>
      <c r="D74" s="107">
        <v>0.925</v>
      </c>
      <c r="E74" s="107">
        <v>0.925</v>
      </c>
      <c r="F74" s="103">
        <v>355</v>
      </c>
      <c r="G74" s="87">
        <f>((2^(1/12)^50)*((H$11+0.125)/16)*(E74*F74))^2*PI()*7.85/(10^9)</f>
        <v>654.9274276046864</v>
      </c>
      <c r="H74" s="81">
        <v>3</v>
      </c>
      <c r="I74" s="82"/>
      <c r="J74" s="83"/>
      <c r="K74" s="84">
        <v>0</v>
      </c>
      <c r="L74" s="17">
        <f t="shared" si="2"/>
        <v>63.35675244084414</v>
      </c>
      <c r="M74" s="18"/>
      <c r="O74" s="67"/>
      <c r="P74" s="67"/>
      <c r="T74" s="67"/>
      <c r="U74" s="67"/>
      <c r="V74" s="67"/>
      <c r="W74" s="67"/>
      <c r="Y74" s="67"/>
      <c r="Z74" s="67"/>
    </row>
    <row r="75" spans="1:26" ht="18">
      <c r="A75" s="7">
        <v>52</v>
      </c>
      <c r="B75" s="97" t="s">
        <v>91</v>
      </c>
      <c r="C75" s="103">
        <v>0.9</v>
      </c>
      <c r="D75" s="103">
        <v>0.9</v>
      </c>
      <c r="E75" s="103">
        <v>0.9</v>
      </c>
      <c r="F75" s="103">
        <v>340</v>
      </c>
      <c r="G75" s="87">
        <f>((2^(1/12)^51)*((H$11+0.25)/16)*(E75*F75))^2*PI()*7.85/(10^9)</f>
        <v>638.7237475593003</v>
      </c>
      <c r="H75" s="81">
        <v>3</v>
      </c>
      <c r="I75" s="82"/>
      <c r="J75" s="83"/>
      <c r="K75" s="84" t="s">
        <v>12</v>
      </c>
      <c r="L75" s="17">
        <f t="shared" si="2"/>
        <v>56.28254717052474</v>
      </c>
      <c r="M75" s="18"/>
      <c r="O75" s="67"/>
      <c r="P75" s="67"/>
      <c r="T75" s="67"/>
      <c r="U75" s="67"/>
      <c r="V75" s="67"/>
      <c r="W75" s="67"/>
      <c r="Y75" s="67"/>
      <c r="Z75" s="67"/>
    </row>
    <row r="76" spans="1:26" ht="18">
      <c r="A76" s="7">
        <v>53</v>
      </c>
      <c r="B76" s="97" t="s">
        <v>92</v>
      </c>
      <c r="C76" s="103">
        <v>0.9</v>
      </c>
      <c r="D76" s="103">
        <v>0.9</v>
      </c>
      <c r="E76" s="103">
        <v>0.9</v>
      </c>
      <c r="F76" s="103">
        <v>323</v>
      </c>
      <c r="G76" s="87">
        <f>((2^(1/12)^52)*((H$11+0.25)/16)*(E76*F76))^2*PI()*7.85/(10^9)</f>
        <v>647.0412073052989</v>
      </c>
      <c r="H76" s="81">
        <v>3</v>
      </c>
      <c r="I76" s="82"/>
      <c r="J76" s="83"/>
      <c r="K76" s="84" t="s">
        <v>12</v>
      </c>
      <c r="L76" s="17">
        <f t="shared" si="2"/>
        <v>57.01545842093922</v>
      </c>
      <c r="M76" s="18"/>
      <c r="O76" s="67"/>
      <c r="P76" s="67"/>
      <c r="T76" s="67"/>
      <c r="U76" s="67"/>
      <c r="V76" s="67"/>
      <c r="W76" s="67"/>
      <c r="Y76" s="67"/>
      <c r="Z76" s="67"/>
    </row>
    <row r="77" spans="1:26" ht="18">
      <c r="A77" s="7">
        <v>54</v>
      </c>
      <c r="B77" s="97" t="s">
        <v>93</v>
      </c>
      <c r="C77" s="103">
        <v>0.9</v>
      </c>
      <c r="D77" s="103">
        <v>0.9</v>
      </c>
      <c r="E77" s="103">
        <v>0.9</v>
      </c>
      <c r="F77" s="103">
        <v>305</v>
      </c>
      <c r="G77" s="87">
        <f>((2^(1/12)^53)*((H$11+0.375)/16)*(E77*F77))^2*PI()*7.85/(10^9)</f>
        <v>647.9533029419216</v>
      </c>
      <c r="H77" s="81">
        <v>3</v>
      </c>
      <c r="I77" s="82"/>
      <c r="J77" s="83"/>
      <c r="K77" s="84" t="s">
        <v>12</v>
      </c>
      <c r="L77" s="17">
        <f t="shared" si="2"/>
        <v>57.0958297330885</v>
      </c>
      <c r="M77" s="18"/>
      <c r="O77" s="67"/>
      <c r="P77" s="67"/>
      <c r="T77" s="67"/>
      <c r="U77" s="67"/>
      <c r="V77" s="67"/>
      <c r="W77" s="67"/>
      <c r="Y77" s="67"/>
      <c r="Z77" s="67"/>
    </row>
    <row r="78" spans="1:26" ht="18">
      <c r="A78" s="7">
        <v>55</v>
      </c>
      <c r="B78" s="97" t="s">
        <v>94</v>
      </c>
      <c r="C78" s="103">
        <v>0.9</v>
      </c>
      <c r="D78" s="103">
        <v>0.9</v>
      </c>
      <c r="E78" s="103">
        <v>0.9</v>
      </c>
      <c r="F78" s="103">
        <v>290</v>
      </c>
      <c r="G78" s="87">
        <f>((2^(1/12)^54)*((H$11+0.375)/16)*(E78*F78))^2*PI()*7.85/(10^9)</f>
        <v>657.5241235796826</v>
      </c>
      <c r="H78" s="81">
        <v>3</v>
      </c>
      <c r="I78" s="82"/>
      <c r="J78" s="83"/>
      <c r="K78" s="84" t="s">
        <v>12</v>
      </c>
      <c r="L78" s="17">
        <f t="shared" si="2"/>
        <v>57.93918363383791</v>
      </c>
      <c r="M78" s="18"/>
      <c r="O78" s="67"/>
      <c r="P78" s="67"/>
      <c r="T78" s="67"/>
      <c r="U78" s="67"/>
      <c r="V78" s="67"/>
      <c r="W78" s="67"/>
      <c r="Y78" s="67"/>
      <c r="Z78" s="67"/>
    </row>
    <row r="79" spans="1:26" ht="18">
      <c r="A79" s="7">
        <v>56</v>
      </c>
      <c r="B79" s="97" t="s">
        <v>95</v>
      </c>
      <c r="C79" s="103">
        <v>0.9</v>
      </c>
      <c r="D79" s="103">
        <v>0.9</v>
      </c>
      <c r="E79" s="103">
        <v>0.9</v>
      </c>
      <c r="F79" s="103">
        <v>278</v>
      </c>
      <c r="G79" s="87">
        <f>((2^(1/12)^55)*((H$11+0.5)/16)*(E79*F79))^2*PI()*7.85/(10^9)</f>
        <v>678.6132762345059</v>
      </c>
      <c r="H79" s="81">
        <v>3</v>
      </c>
      <c r="I79" s="82"/>
      <c r="J79" s="83"/>
      <c r="K79" s="84" t="s">
        <v>12</v>
      </c>
      <c r="L79" s="17">
        <f aca="true" t="shared" si="3" ref="L79:L103">100/(IF($K79="XM",VLOOKUP(C79,$Q$16:$R$33,2),IF($K79="M",VLOOKUP(C79,$T$16:$U$47,2),IF($K79=0,VLOOKUP(C79,$W$16:$X$47,2),IF($K79=1,VLOOKUP(C79,$Z$16:$AA$50,2),IF($K79=2,VLOOKUP(C79,$AC$16:$AD$53,2)))))))*G79</f>
        <v>59.79750068188423</v>
      </c>
      <c r="M79" s="18"/>
      <c r="O79" s="67"/>
      <c r="P79" s="67"/>
      <c r="T79" s="67"/>
      <c r="U79" s="67"/>
      <c r="V79" s="67"/>
      <c r="W79" s="67"/>
      <c r="Y79" s="67"/>
      <c r="Z79" s="67"/>
    </row>
    <row r="80" spans="1:26" ht="18">
      <c r="A80" s="7">
        <v>57</v>
      </c>
      <c r="B80" s="97" t="s">
        <v>96</v>
      </c>
      <c r="C80" s="107">
        <v>0.9</v>
      </c>
      <c r="D80" s="107">
        <v>0.9</v>
      </c>
      <c r="E80" s="107">
        <v>0.9</v>
      </c>
      <c r="F80" s="103">
        <v>265</v>
      </c>
      <c r="G80" s="87">
        <f>((2^(1/12)^56)*((H$11+0.5)/16)*(E80*F80))^2*PI()*7.85/(10^9)</f>
        <v>692.1435463286057</v>
      </c>
      <c r="H80" s="81">
        <v>3</v>
      </c>
      <c r="I80" s="82"/>
      <c r="J80" s="83"/>
      <c r="K80" s="84" t="s">
        <v>12</v>
      </c>
      <c r="L80" s="17">
        <f t="shared" si="3"/>
        <v>60.98975017583375</v>
      </c>
      <c r="M80" s="18"/>
      <c r="O80" s="67"/>
      <c r="P80" s="67"/>
      <c r="T80" s="67"/>
      <c r="U80" s="67"/>
      <c r="V80" s="67"/>
      <c r="W80" s="67"/>
      <c r="Y80" s="67"/>
      <c r="Z80" s="67"/>
    </row>
    <row r="81" spans="1:26" ht="18">
      <c r="A81" s="7">
        <v>58</v>
      </c>
      <c r="B81" s="97" t="s">
        <v>97</v>
      </c>
      <c r="C81" s="103">
        <v>0.875</v>
      </c>
      <c r="D81" s="103">
        <v>0.875</v>
      </c>
      <c r="E81" s="103">
        <v>0.875</v>
      </c>
      <c r="F81" s="103">
        <v>253</v>
      </c>
      <c r="G81" s="87">
        <f>((2^(1/12)^57)*((H$11+0.625)/16)*(E81*F81))^2*PI()*7.85/(10^9)</f>
        <v>669.7204353308753</v>
      </c>
      <c r="H81" s="81">
        <v>3</v>
      </c>
      <c r="I81" s="82"/>
      <c r="J81" s="83"/>
      <c r="K81" s="84" t="s">
        <v>12</v>
      </c>
      <c r="L81" s="17">
        <f t="shared" si="3"/>
        <v>62.17288988142241</v>
      </c>
      <c r="M81" s="18"/>
      <c r="O81" s="67"/>
      <c r="P81" s="67"/>
      <c r="T81" s="67"/>
      <c r="U81" s="67"/>
      <c r="V81" s="67"/>
      <c r="W81" s="67"/>
      <c r="Y81" s="67"/>
      <c r="Z81" s="67"/>
    </row>
    <row r="82" spans="1:26" ht="18">
      <c r="A82" s="7">
        <v>59</v>
      </c>
      <c r="B82" s="97" t="s">
        <v>98</v>
      </c>
      <c r="C82" s="103">
        <v>0.875</v>
      </c>
      <c r="D82" s="103">
        <v>0.875</v>
      </c>
      <c r="E82" s="103">
        <v>0.875</v>
      </c>
      <c r="F82" s="103">
        <v>238</v>
      </c>
      <c r="G82" s="87">
        <f>((2^(1/12)^58)*((H$11+0.625)/16)*(E82*F82))^2*PI()*7.85/(10^9)</f>
        <v>665.2395920660759</v>
      </c>
      <c r="H82" s="81">
        <v>3</v>
      </c>
      <c r="I82" s="82"/>
      <c r="J82" s="83"/>
      <c r="K82" s="84" t="s">
        <v>12</v>
      </c>
      <c r="L82" s="17">
        <f t="shared" si="3"/>
        <v>61.75691485634997</v>
      </c>
      <c r="M82" s="18"/>
      <c r="O82" s="67"/>
      <c r="P82" s="67"/>
      <c r="T82" s="67"/>
      <c r="U82" s="67"/>
      <c r="V82" s="67"/>
      <c r="W82" s="67"/>
      <c r="Y82" s="67"/>
      <c r="Z82" s="67"/>
    </row>
    <row r="83" spans="1:26" ht="18">
      <c r="A83" s="7">
        <v>60</v>
      </c>
      <c r="B83" s="95" t="s">
        <v>99</v>
      </c>
      <c r="C83" s="103">
        <v>0.875</v>
      </c>
      <c r="D83" s="103">
        <v>0.875</v>
      </c>
      <c r="E83" s="103">
        <v>0.875</v>
      </c>
      <c r="F83" s="103">
        <v>227</v>
      </c>
      <c r="G83" s="87">
        <f>((2^(1/12)^59)*((H$11+0.75)/16)*(E83*F83))^2*PI()*7.85/(10^9)</f>
        <v>679.6617274498734</v>
      </c>
      <c r="H83" s="81">
        <v>3</v>
      </c>
      <c r="I83" s="82"/>
      <c r="J83" s="83"/>
      <c r="K83" s="84" t="s">
        <v>12</v>
      </c>
      <c r="L83" s="17">
        <f t="shared" si="3"/>
        <v>63.095780728986526</v>
      </c>
      <c r="M83" s="18"/>
      <c r="O83" s="67"/>
      <c r="P83" s="67"/>
      <c r="V83" s="67"/>
      <c r="W83" s="67"/>
      <c r="Y83" s="67"/>
      <c r="Z83" s="67"/>
    </row>
    <row r="84" spans="1:26" ht="18">
      <c r="A84" s="8">
        <v>61</v>
      </c>
      <c r="B84" s="96" t="s">
        <v>100</v>
      </c>
      <c r="C84" s="103">
        <v>0.875</v>
      </c>
      <c r="D84" s="103">
        <v>0.875</v>
      </c>
      <c r="E84" s="103">
        <v>0.875</v>
      </c>
      <c r="F84" s="107">
        <v>216</v>
      </c>
      <c r="G84" s="87">
        <f>((2^(1/12)^60)*((H$11+0.75)/16)*(E84*F84))^2*PI()*7.85/(10^9)</f>
        <v>690.7490063284098</v>
      </c>
      <c r="H84" s="81">
        <v>3</v>
      </c>
      <c r="I84" s="82"/>
      <c r="J84" s="83"/>
      <c r="K84" s="84" t="s">
        <v>12</v>
      </c>
      <c r="L84" s="17">
        <f t="shared" si="3"/>
        <v>64.12505821916689</v>
      </c>
      <c r="M84" s="18"/>
      <c r="O84" s="67"/>
      <c r="P84" s="67"/>
      <c r="V84" s="67"/>
      <c r="W84" s="67"/>
      <c r="Y84" s="67"/>
      <c r="Z84" s="67"/>
    </row>
    <row r="85" spans="1:26" ht="18">
      <c r="A85" s="7">
        <v>62</v>
      </c>
      <c r="B85" s="95" t="s">
        <v>101</v>
      </c>
      <c r="C85" s="103">
        <v>0.875</v>
      </c>
      <c r="D85" s="103">
        <v>0.875</v>
      </c>
      <c r="E85" s="103">
        <v>0.875</v>
      </c>
      <c r="F85" s="103">
        <v>206</v>
      </c>
      <c r="G85" s="87">
        <f>((2^(1/12)^61)*((H$11+0.875)/16)*(E85*F85))^2*PI()*7.85/(10^9)</f>
        <v>705.6089230170985</v>
      </c>
      <c r="H85" s="81">
        <v>3</v>
      </c>
      <c r="I85" s="82"/>
      <c r="J85" s="83"/>
      <c r="K85" s="84" t="s">
        <v>12</v>
      </c>
      <c r="L85" s="17">
        <f t="shared" si="3"/>
        <v>65.50456512263551</v>
      </c>
      <c r="M85" s="18"/>
      <c r="O85" s="67"/>
      <c r="P85" s="67"/>
      <c r="V85" s="67"/>
      <c r="W85" s="67"/>
      <c r="Y85" s="67"/>
      <c r="Z85" s="67"/>
    </row>
    <row r="86" spans="1:26" ht="18">
      <c r="A86" s="7">
        <v>63</v>
      </c>
      <c r="B86" s="95" t="s">
        <v>102</v>
      </c>
      <c r="C86" s="107">
        <v>0.875</v>
      </c>
      <c r="D86" s="107">
        <v>0.875</v>
      </c>
      <c r="E86" s="107">
        <v>0.875</v>
      </c>
      <c r="F86" s="103">
        <v>196</v>
      </c>
      <c r="G86" s="87">
        <f>((2^(1/12)^62)*((H$11+0.875)/16)*(E86*F86))^2*PI()*7.85/(10^9)</f>
        <v>716.9905507102948</v>
      </c>
      <c r="H86" s="81">
        <v>3</v>
      </c>
      <c r="I86" s="82"/>
      <c r="J86" s="83"/>
      <c r="K86" s="84" t="s">
        <v>12</v>
      </c>
      <c r="L86" s="17">
        <f t="shared" si="3"/>
        <v>66.56116821835982</v>
      </c>
      <c r="M86" s="18"/>
      <c r="O86" s="67"/>
      <c r="P86" s="67"/>
      <c r="Y86" s="67"/>
      <c r="Z86" s="67"/>
    </row>
    <row r="87" spans="1:26" ht="18">
      <c r="A87" s="7">
        <v>64</v>
      </c>
      <c r="B87" s="97" t="s">
        <v>119</v>
      </c>
      <c r="C87" s="103">
        <v>0.85</v>
      </c>
      <c r="D87" s="103">
        <v>0.85</v>
      </c>
      <c r="E87" s="103">
        <v>0.85</v>
      </c>
      <c r="F87" s="103">
        <v>186</v>
      </c>
      <c r="G87" s="87">
        <f>((2^(1/12)^63)*((H$11+1)/16)*(E87*F87))^2*PI()*7.85/(10^9)</f>
        <v>684.3302074888448</v>
      </c>
      <c r="H87" s="81">
        <v>3</v>
      </c>
      <c r="I87" s="82"/>
      <c r="J87" s="83"/>
      <c r="K87" s="84" t="s">
        <v>12</v>
      </c>
      <c r="L87" s="17">
        <f t="shared" si="3"/>
        <v>67.04046098258674</v>
      </c>
      <c r="M87" s="18"/>
      <c r="O87" s="67"/>
      <c r="P87" s="67"/>
      <c r="Y87" s="67"/>
      <c r="Z87" s="67"/>
    </row>
    <row r="88" spans="1:26" ht="18">
      <c r="A88" s="7">
        <v>65</v>
      </c>
      <c r="B88" s="97" t="s">
        <v>132</v>
      </c>
      <c r="C88" s="103">
        <v>0.85</v>
      </c>
      <c r="D88" s="103">
        <v>0.85</v>
      </c>
      <c r="E88" s="103">
        <v>0.85</v>
      </c>
      <c r="F88" s="103">
        <v>177</v>
      </c>
      <c r="G88" s="87">
        <f>((2^(1/12)^64)*((H$11+1.125)/16)*(E88*F88))^2*PI()*7.85/(10^9)</f>
        <v>695.9901186664981</v>
      </c>
      <c r="H88" s="81">
        <v>3</v>
      </c>
      <c r="I88" s="82"/>
      <c r="J88" s="83"/>
      <c r="K88" s="84" t="s">
        <v>12</v>
      </c>
      <c r="L88" s="17">
        <f t="shared" si="3"/>
        <v>68.18272507061275</v>
      </c>
      <c r="M88" s="18"/>
      <c r="O88" s="67"/>
      <c r="P88" s="67"/>
      <c r="Y88" s="67"/>
      <c r="Z88" s="67"/>
    </row>
    <row r="89" spans="1:26" ht="18">
      <c r="A89" s="7">
        <v>66</v>
      </c>
      <c r="B89" s="97" t="s">
        <v>103</v>
      </c>
      <c r="C89" s="103">
        <v>0.85</v>
      </c>
      <c r="D89" s="103">
        <v>0.85</v>
      </c>
      <c r="E89" s="103">
        <v>0.85</v>
      </c>
      <c r="F89" s="103">
        <v>167</v>
      </c>
      <c r="G89" s="87">
        <f>((2^(1/12)^65)*((H$11+1.25)/16)*(E89*F89))^2*PI()*7.85/(10^9)</f>
        <v>695.8347806497414</v>
      </c>
      <c r="H89" s="81">
        <v>3</v>
      </c>
      <c r="I89" s="82"/>
      <c r="J89" s="83"/>
      <c r="K89" s="84" t="s">
        <v>12</v>
      </c>
      <c r="L89" s="17">
        <f t="shared" si="3"/>
        <v>68.1675073699508</v>
      </c>
      <c r="M89" s="18"/>
      <c r="O89" s="67"/>
      <c r="P89" s="67"/>
      <c r="Y89" s="67"/>
      <c r="Z89" s="67"/>
    </row>
    <row r="90" spans="1:26" ht="18">
      <c r="A90" s="7">
        <v>67</v>
      </c>
      <c r="B90" s="97" t="s">
        <v>118</v>
      </c>
      <c r="C90" s="103">
        <v>0.85</v>
      </c>
      <c r="D90" s="103">
        <v>0.85</v>
      </c>
      <c r="E90" s="103">
        <v>0.85</v>
      </c>
      <c r="F90" s="103">
        <v>160</v>
      </c>
      <c r="G90" s="87">
        <f>((2^(1/12)^66)*((H$11+1.375)/16)*(E90*F90))^2*PI()*7.85/(10^9)</f>
        <v>717.3477428563388</v>
      </c>
      <c r="H90" s="81">
        <v>3</v>
      </c>
      <c r="I90" s="82"/>
      <c r="J90" s="83"/>
      <c r="K90" s="84" t="s">
        <v>12</v>
      </c>
      <c r="L90" s="17">
        <f t="shared" si="3"/>
        <v>70.27502635369339</v>
      </c>
      <c r="M90" s="18"/>
      <c r="O90" s="67"/>
      <c r="P90" s="67"/>
      <c r="Y90" s="67"/>
      <c r="Z90" s="67"/>
    </row>
    <row r="91" spans="1:26" ht="18">
      <c r="A91" s="7">
        <v>68</v>
      </c>
      <c r="B91" s="97" t="s">
        <v>104</v>
      </c>
      <c r="C91" s="103">
        <v>0.85</v>
      </c>
      <c r="D91" s="103">
        <v>0.85</v>
      </c>
      <c r="E91" s="103">
        <v>0.85</v>
      </c>
      <c r="F91" s="103">
        <v>151</v>
      </c>
      <c r="G91" s="87">
        <f>((2^(1/12)^67)*((H$11+1.5)/16)*(E91*F91))^2*PI()*7.85/(10^9)</f>
        <v>717.5632310171724</v>
      </c>
      <c r="H91" s="81">
        <v>3</v>
      </c>
      <c r="I91" s="82"/>
      <c r="J91" s="83"/>
      <c r="K91" s="84" t="s">
        <v>12</v>
      </c>
      <c r="L91" s="17">
        <f t="shared" si="3"/>
        <v>70.29613666780855</v>
      </c>
      <c r="M91" s="18"/>
      <c r="O91" s="67"/>
      <c r="P91" s="67"/>
      <c r="Y91" s="67"/>
      <c r="Z91" s="67"/>
    </row>
    <row r="92" spans="1:26" ht="18">
      <c r="A92" s="7">
        <v>69</v>
      </c>
      <c r="B92" s="97" t="s">
        <v>105</v>
      </c>
      <c r="C92" s="103">
        <v>0.85</v>
      </c>
      <c r="D92" s="103">
        <v>0.85</v>
      </c>
      <c r="E92" s="103">
        <v>0.85</v>
      </c>
      <c r="F92" s="103">
        <v>144</v>
      </c>
      <c r="G92" s="87">
        <f>((2^(1/12)^68)*((H$11+1.625)/16)*(E92*F92))^2*PI()*7.85/(10^9)</f>
        <v>732.9050406996121</v>
      </c>
      <c r="H92" s="81">
        <v>3</v>
      </c>
      <c r="I92" s="82"/>
      <c r="J92" s="83"/>
      <c r="K92" s="84" t="s">
        <v>12</v>
      </c>
      <c r="L92" s="17">
        <f t="shared" si="3"/>
        <v>71.79909822373934</v>
      </c>
      <c r="M92" s="18"/>
      <c r="O92" s="67"/>
      <c r="P92" s="67"/>
      <c r="Y92" s="67"/>
      <c r="Z92" s="67"/>
    </row>
    <row r="93" spans="1:25" ht="18">
      <c r="A93" s="7">
        <v>70</v>
      </c>
      <c r="B93" s="97" t="s">
        <v>121</v>
      </c>
      <c r="C93" s="103">
        <v>0.85</v>
      </c>
      <c r="D93" s="103">
        <v>0.85</v>
      </c>
      <c r="E93" s="103">
        <v>0.85</v>
      </c>
      <c r="F93" s="103">
        <v>137</v>
      </c>
      <c r="G93" s="87">
        <f>((2^(1/12)^69)*((H$11+1.75)/16)*(E93*F93))^2*PI()*7.85/(10^9)</f>
        <v>745.0411016792924</v>
      </c>
      <c r="H93" s="81">
        <v>3</v>
      </c>
      <c r="I93" s="82"/>
      <c r="J93" s="83"/>
      <c r="K93" s="84" t="s">
        <v>12</v>
      </c>
      <c r="L93" s="17">
        <f t="shared" si="3"/>
        <v>72.98800836344526</v>
      </c>
      <c r="M93" s="18"/>
      <c r="O93" s="67"/>
      <c r="P93" s="67"/>
      <c r="Y93" s="67"/>
    </row>
    <row r="94" spans="1:16" ht="18">
      <c r="A94" s="7">
        <v>71</v>
      </c>
      <c r="B94" s="97" t="s">
        <v>106</v>
      </c>
      <c r="C94" s="107">
        <v>0.85</v>
      </c>
      <c r="D94" s="107">
        <v>0.85</v>
      </c>
      <c r="E94" s="107">
        <v>0.85</v>
      </c>
      <c r="F94" s="103">
        <v>130</v>
      </c>
      <c r="G94" s="87">
        <f>((2^(1/12)^70)*((H$11+1.875)/16)*(E94*F94))^2*PI()*7.85/(10^9)</f>
        <v>753.4286085987003</v>
      </c>
      <c r="H94" s="81">
        <v>3</v>
      </c>
      <c r="I94" s="82"/>
      <c r="J94" s="83"/>
      <c r="K94" s="84" t="s">
        <v>12</v>
      </c>
      <c r="L94" s="17">
        <f t="shared" si="3"/>
        <v>73.80969111866824</v>
      </c>
      <c r="M94" s="18"/>
      <c r="O94" s="67"/>
      <c r="P94" s="67"/>
    </row>
    <row r="95" spans="1:16" ht="18">
      <c r="A95" s="7">
        <v>72</v>
      </c>
      <c r="B95" s="95" t="s">
        <v>107</v>
      </c>
      <c r="C95" s="103">
        <v>0.825</v>
      </c>
      <c r="D95" s="103">
        <v>0.825</v>
      </c>
      <c r="E95" s="103">
        <v>0.825</v>
      </c>
      <c r="F95" s="103">
        <v>124</v>
      </c>
      <c r="G95" s="87">
        <f>((2^(1/12)^71)*((H$11+2)/16)*(E95*F95))^2*PI()*7.85/(10^9)</f>
        <v>725.2455184198525</v>
      </c>
      <c r="H95" s="81">
        <v>3</v>
      </c>
      <c r="I95" s="82"/>
      <c r="J95" s="83"/>
      <c r="K95" s="84" t="s">
        <v>12</v>
      </c>
      <c r="L95" s="17">
        <f t="shared" si="3"/>
        <v>74.82720599042736</v>
      </c>
      <c r="M95" s="69"/>
      <c r="O95" s="67"/>
      <c r="P95" s="67"/>
    </row>
    <row r="96" spans="1:17" ht="18">
      <c r="A96" s="8">
        <v>73</v>
      </c>
      <c r="B96" s="96" t="s">
        <v>108</v>
      </c>
      <c r="C96" s="103">
        <v>0.825</v>
      </c>
      <c r="D96" s="103">
        <v>0.825</v>
      </c>
      <c r="E96" s="103">
        <v>0.825</v>
      </c>
      <c r="F96" s="107">
        <v>116</v>
      </c>
      <c r="G96" s="87">
        <f>((2^(1/12)^72)*((H$11+2.25)/16)*(E96*F96))^2*PI()*7.85/(10^9)</f>
        <v>713.2113741582542</v>
      </c>
      <c r="H96" s="81">
        <v>3</v>
      </c>
      <c r="I96" s="82"/>
      <c r="J96" s="83"/>
      <c r="K96" s="84" t="s">
        <v>12</v>
      </c>
      <c r="L96" s="17">
        <f t="shared" si="3"/>
        <v>73.58558316241862</v>
      </c>
      <c r="M96" s="18"/>
      <c r="N96" s="24"/>
      <c r="O96" s="24"/>
      <c r="P96" s="24"/>
      <c r="Q96" s="68"/>
    </row>
    <row r="97" spans="1:17" ht="18">
      <c r="A97" s="7">
        <v>74</v>
      </c>
      <c r="B97" s="95" t="s">
        <v>109</v>
      </c>
      <c r="C97" s="103">
        <v>0.825</v>
      </c>
      <c r="D97" s="103">
        <v>0.825</v>
      </c>
      <c r="E97" s="103">
        <v>0.825</v>
      </c>
      <c r="F97" s="103">
        <v>110</v>
      </c>
      <c r="G97" s="87">
        <f>((2^(1/12)^73)*((H$11+2.5)/16)*(E97*F97))^2*PI()*7.85/(10^9)</f>
        <v>720.6891371854315</v>
      </c>
      <c r="H97" s="81">
        <v>3</v>
      </c>
      <c r="I97" s="82"/>
      <c r="J97" s="83"/>
      <c r="K97" s="84" t="s">
        <v>12</v>
      </c>
      <c r="L97" s="17">
        <f t="shared" si="3"/>
        <v>74.35710135890648</v>
      </c>
      <c r="M97" s="18"/>
      <c r="N97" s="24"/>
      <c r="O97" s="24"/>
      <c r="P97" s="24"/>
      <c r="Q97" s="68"/>
    </row>
    <row r="98" spans="1:17" ht="18">
      <c r="A98" s="7">
        <v>75</v>
      </c>
      <c r="B98" s="95" t="s">
        <v>110</v>
      </c>
      <c r="C98" s="103">
        <v>0.825</v>
      </c>
      <c r="D98" s="103">
        <v>0.825</v>
      </c>
      <c r="E98" s="103">
        <v>0.825</v>
      </c>
      <c r="F98" s="103">
        <v>103</v>
      </c>
      <c r="G98" s="87">
        <f>((2^(1/12)^74)*((H$11+2.75)/16)*(E98*F98))^2*PI()*7.85/(10^9)</f>
        <v>710.0633613417405</v>
      </c>
      <c r="H98" s="81">
        <v>3</v>
      </c>
      <c r="I98" s="82"/>
      <c r="J98" s="83"/>
      <c r="K98" s="84" t="s">
        <v>12</v>
      </c>
      <c r="L98" s="17">
        <f t="shared" si="3"/>
        <v>73.26078694169186</v>
      </c>
      <c r="M98" s="18"/>
      <c r="N98" s="24"/>
      <c r="O98" s="24"/>
      <c r="P98" s="24"/>
      <c r="Q98" s="68"/>
    </row>
    <row r="99" spans="1:17" ht="18">
      <c r="A99" s="7">
        <v>76</v>
      </c>
      <c r="B99" s="97" t="s">
        <v>111</v>
      </c>
      <c r="C99" s="107">
        <v>0.825</v>
      </c>
      <c r="D99" s="107">
        <v>0.825</v>
      </c>
      <c r="E99" s="107">
        <v>0.825</v>
      </c>
      <c r="F99" s="103">
        <v>97</v>
      </c>
      <c r="G99" s="87">
        <f>((2^(1/12)^75)*((H$11+3)/16)*(E99*F99))^2*PI()*7.85/(10^9)</f>
        <v>707.6620358712606</v>
      </c>
      <c r="H99" s="81">
        <v>3</v>
      </c>
      <c r="I99" s="82"/>
      <c r="J99" s="83"/>
      <c r="K99" s="84" t="s">
        <v>12</v>
      </c>
      <c r="L99" s="17">
        <f t="shared" si="3"/>
        <v>73.0130301875086</v>
      </c>
      <c r="M99" s="18"/>
      <c r="N99" s="24"/>
      <c r="O99" s="24"/>
      <c r="P99" s="24"/>
      <c r="Q99" s="68"/>
    </row>
    <row r="100" spans="1:17" ht="18">
      <c r="A100" s="7">
        <v>77</v>
      </c>
      <c r="B100" s="97" t="s">
        <v>131</v>
      </c>
      <c r="C100" s="103">
        <v>0.8</v>
      </c>
      <c r="D100" s="103">
        <v>0.8</v>
      </c>
      <c r="E100" s="103">
        <v>0.8</v>
      </c>
      <c r="F100" s="103">
        <v>90</v>
      </c>
      <c r="G100" s="87">
        <f>((2^(1/12)^76)*((H$11+3.25)/16)*(E100*F100))^2*PI()*7.85/(10^9)</f>
        <v>643.722997638338</v>
      </c>
      <c r="H100" s="81">
        <v>3</v>
      </c>
      <c r="I100" s="82"/>
      <c r="J100" s="83"/>
      <c r="K100" s="84" t="s">
        <v>12</v>
      </c>
      <c r="L100" s="17">
        <f t="shared" si="3"/>
        <v>70.35551233077459</v>
      </c>
      <c r="M100" s="18"/>
      <c r="N100" s="24"/>
      <c r="O100" s="24"/>
      <c r="P100" s="24"/>
      <c r="Q100" s="68"/>
    </row>
    <row r="101" spans="1:17" ht="18">
      <c r="A101" s="7">
        <v>78</v>
      </c>
      <c r="B101" s="97" t="s">
        <v>112</v>
      </c>
      <c r="C101" s="103">
        <v>0.8</v>
      </c>
      <c r="D101" s="103">
        <v>0.8</v>
      </c>
      <c r="E101" s="103">
        <v>0.8</v>
      </c>
      <c r="F101" s="103">
        <v>85</v>
      </c>
      <c r="G101" s="87">
        <f>((2^(1/12)^77)*((H$11+3.5)/16)*(E101*F101))^2*PI()*7.85/(10^9)</f>
        <v>645.2248479863821</v>
      </c>
      <c r="H101" s="81">
        <v>3</v>
      </c>
      <c r="I101" s="82"/>
      <c r="J101" s="83"/>
      <c r="K101" s="84" t="s">
        <v>12</v>
      </c>
      <c r="L101" s="17">
        <f t="shared" si="3"/>
        <v>70.5196566149907</v>
      </c>
      <c r="M101" s="18"/>
      <c r="N101" s="24"/>
      <c r="O101" s="24"/>
      <c r="P101" s="24"/>
      <c r="Q101" s="68"/>
    </row>
    <row r="102" spans="1:17" ht="18">
      <c r="A102" s="7">
        <v>79</v>
      </c>
      <c r="B102" s="97" t="s">
        <v>113</v>
      </c>
      <c r="C102" s="103">
        <v>0.8</v>
      </c>
      <c r="D102" s="103">
        <v>0.8</v>
      </c>
      <c r="E102" s="103">
        <v>0.8</v>
      </c>
      <c r="F102" s="103">
        <v>80</v>
      </c>
      <c r="G102" s="87">
        <f>((2^(1/12)^78)*((H$11+3.75)/16)*(E102*F102))^2*PI()*7.85/(10^9)</f>
        <v>642.2618995338355</v>
      </c>
      <c r="H102" s="81">
        <v>3</v>
      </c>
      <c r="I102" s="82"/>
      <c r="J102" s="83"/>
      <c r="K102" s="84" t="s">
        <v>12</v>
      </c>
      <c r="L102" s="17">
        <f t="shared" si="3"/>
        <v>70.19582205081733</v>
      </c>
      <c r="M102" s="18"/>
      <c r="N102" s="24"/>
      <c r="O102" s="24"/>
      <c r="P102" s="24"/>
      <c r="Q102" s="68"/>
    </row>
    <row r="103" spans="1:17" ht="18">
      <c r="A103" s="7">
        <v>80</v>
      </c>
      <c r="B103" s="97" t="s">
        <v>114</v>
      </c>
      <c r="C103" s="107">
        <v>0.8</v>
      </c>
      <c r="D103" s="107">
        <v>0.8</v>
      </c>
      <c r="E103" s="107">
        <v>0.8</v>
      </c>
      <c r="F103" s="103">
        <v>75</v>
      </c>
      <c r="G103" s="87">
        <f>((2^(1/12)^79)*((H$11+4)/16)*(E103*F103))^2*PI()*7.85/(10^9)</f>
        <v>634.3272840085021</v>
      </c>
      <c r="H103" s="81">
        <v>3</v>
      </c>
      <c r="I103" s="82"/>
      <c r="J103" s="83"/>
      <c r="K103" s="84" t="s">
        <v>12</v>
      </c>
      <c r="L103" s="17">
        <f t="shared" si="3"/>
        <v>69.32861062217394</v>
      </c>
      <c r="M103" s="18"/>
      <c r="N103" s="24"/>
      <c r="O103" s="24"/>
      <c r="P103" s="24"/>
      <c r="Q103" s="68"/>
    </row>
    <row r="104" spans="1:17" ht="18">
      <c r="A104" s="7">
        <v>81</v>
      </c>
      <c r="B104" s="97" t="s">
        <v>115</v>
      </c>
      <c r="C104" s="103">
        <v>0.775</v>
      </c>
      <c r="D104" s="103">
        <v>0.775</v>
      </c>
      <c r="E104" s="103">
        <v>0.775</v>
      </c>
      <c r="F104" s="103">
        <v>70</v>
      </c>
      <c r="G104" s="87">
        <f>((2^(1/12)^80)*((H$11+4.5)/16)*(E104*F104))^2*PI()*7.85/(10^9)</f>
        <v>583.3849903170482</v>
      </c>
      <c r="H104" s="81">
        <v>3</v>
      </c>
      <c r="I104" s="82"/>
      <c r="J104" s="83"/>
      <c r="K104" s="84" t="s">
        <v>12</v>
      </c>
      <c r="L104" s="17">
        <f aca="true" t="shared" si="4" ref="L104:L115">100/(IF($K104="XM",VLOOKUP(C104,$Q$16:$R$33,2),IF($K104="M",VLOOKUP(C104,$T$16:$U$47,2),IF($K104=0,VLOOKUP(C104,$W$16:$X$47,2),IF($K104=1,VLOOKUP(C104,$Z$16:$AA$50,2),IF($K104=2,VLOOKUP(C104,$AC$16:$AD$53,2)))))))*G104</f>
        <v>67.66205318387253</v>
      </c>
      <c r="M104" s="18"/>
      <c r="N104" s="24"/>
      <c r="O104" s="24"/>
      <c r="P104" s="24"/>
      <c r="Q104" s="68"/>
    </row>
    <row r="105" spans="1:17" ht="18">
      <c r="A105" s="7">
        <v>82</v>
      </c>
      <c r="B105" s="97" t="s">
        <v>120</v>
      </c>
      <c r="C105" s="103">
        <v>0.775</v>
      </c>
      <c r="D105" s="103">
        <v>0.775</v>
      </c>
      <c r="E105" s="103">
        <v>0.775</v>
      </c>
      <c r="F105" s="103">
        <v>67</v>
      </c>
      <c r="G105" s="87">
        <f>((2^(1/12)^81)*((H$11+5)/16)*(E105*F105))^2*PI()*7.85/(10^9)</f>
        <v>601.2465014016803</v>
      </c>
      <c r="H105" s="81">
        <v>3</v>
      </c>
      <c r="I105" s="82"/>
      <c r="J105" s="83"/>
      <c r="K105" s="84" t="s">
        <v>12</v>
      </c>
      <c r="L105" s="17">
        <f t="shared" si="4"/>
        <v>69.73366375495682</v>
      </c>
      <c r="M105" s="18"/>
      <c r="N105" s="24"/>
      <c r="O105" s="24"/>
      <c r="P105" s="24"/>
      <c r="Q105" s="68"/>
    </row>
    <row r="106" spans="1:17" ht="18">
      <c r="A106" s="7">
        <v>83</v>
      </c>
      <c r="B106" s="97" t="s">
        <v>116</v>
      </c>
      <c r="C106" s="103">
        <v>0.775</v>
      </c>
      <c r="D106" s="103">
        <v>0.775</v>
      </c>
      <c r="E106" s="103">
        <v>0.775</v>
      </c>
      <c r="F106" s="103">
        <v>63</v>
      </c>
      <c r="G106" s="87">
        <f>((2^(1/12)^82)*((H$11+5.5)/16)*(E106*F106))^2*PI()*7.85/(10^9)</f>
        <v>598.0352106038232</v>
      </c>
      <c r="H106" s="81">
        <v>3</v>
      </c>
      <c r="I106" s="82"/>
      <c r="J106" s="83"/>
      <c r="K106" s="84" t="s">
        <v>12</v>
      </c>
      <c r="L106" s="17">
        <f t="shared" si="4"/>
        <v>69.36121240231677</v>
      </c>
      <c r="M106" s="18"/>
      <c r="N106" s="24"/>
      <c r="O106" s="24"/>
      <c r="P106" s="24"/>
      <c r="Q106" s="68"/>
    </row>
    <row r="107" spans="1:17" ht="18">
      <c r="A107" s="7">
        <v>84</v>
      </c>
      <c r="B107" s="95" t="s">
        <v>117</v>
      </c>
      <c r="C107" s="107">
        <v>0.775</v>
      </c>
      <c r="D107" s="107">
        <v>0.775</v>
      </c>
      <c r="E107" s="107">
        <v>0.775</v>
      </c>
      <c r="F107" s="103">
        <v>60</v>
      </c>
      <c r="G107" s="87">
        <f>((2^(1/12)^83)*((H$11+6)/16)*(E107*F107))^2*PI()*7.85/(10^9)</f>
        <v>610.2246841251771</v>
      </c>
      <c r="H107" s="81">
        <v>3</v>
      </c>
      <c r="I107" s="82"/>
      <c r="J107" s="83"/>
      <c r="K107" s="84" t="s">
        <v>12</v>
      </c>
      <c r="L107" s="17">
        <f t="shared" si="4"/>
        <v>70.7749697313098</v>
      </c>
      <c r="M107" s="18"/>
      <c r="N107" s="24"/>
      <c r="O107" s="24"/>
      <c r="P107" s="24"/>
      <c r="Q107" s="68"/>
    </row>
    <row r="108" spans="1:17" ht="18">
      <c r="A108" s="8">
        <v>85</v>
      </c>
      <c r="B108" s="96" t="s">
        <v>122</v>
      </c>
      <c r="C108" s="103">
        <v>0.75</v>
      </c>
      <c r="D108" s="103">
        <v>0.75</v>
      </c>
      <c r="E108" s="103">
        <v>0.75</v>
      </c>
      <c r="F108" s="107">
        <v>57</v>
      </c>
      <c r="G108" s="87">
        <f>((2^(1/12)^84)*((H$11+7)/16)*(E108*F108))^2*PI()*7.85/(10^9)</f>
        <v>581.5196889628569</v>
      </c>
      <c r="H108" s="81">
        <v>3</v>
      </c>
      <c r="I108" s="82"/>
      <c r="J108" s="83"/>
      <c r="K108" s="84" t="s">
        <v>12</v>
      </c>
      <c r="L108" s="17">
        <f t="shared" si="4"/>
        <v>71.72272517806306</v>
      </c>
      <c r="M108" s="18"/>
      <c r="N108" s="24"/>
      <c r="O108" s="24"/>
      <c r="P108" s="24"/>
      <c r="Q108" s="68"/>
    </row>
    <row r="109" spans="1:17" ht="18">
      <c r="A109" s="7">
        <v>86</v>
      </c>
      <c r="B109" s="95" t="s">
        <v>123</v>
      </c>
      <c r="C109" s="103">
        <v>0.75</v>
      </c>
      <c r="D109" s="103">
        <v>0.75</v>
      </c>
      <c r="E109" s="103">
        <v>0.75</v>
      </c>
      <c r="F109" s="103">
        <v>55</v>
      </c>
      <c r="G109" s="87">
        <f>((2^(1/12)^85)*((H$11+8)/16)*(E109*F109))^2*PI()*7.85/(10^9)</f>
        <v>610.44157287256</v>
      </c>
      <c r="H109" s="81">
        <v>3</v>
      </c>
      <c r="I109" s="82"/>
      <c r="J109" s="83"/>
      <c r="K109" s="84" t="s">
        <v>12</v>
      </c>
      <c r="L109" s="17">
        <f t="shared" si="4"/>
        <v>75.28985518356141</v>
      </c>
      <c r="M109" s="18"/>
      <c r="N109" s="24"/>
      <c r="O109" s="24"/>
      <c r="P109" s="24"/>
      <c r="Q109" s="68"/>
    </row>
    <row r="110" spans="1:17" ht="18">
      <c r="A110" s="7">
        <v>87</v>
      </c>
      <c r="B110" s="95" t="s">
        <v>124</v>
      </c>
      <c r="C110" s="103">
        <v>0.75</v>
      </c>
      <c r="D110" s="103">
        <v>0.75</v>
      </c>
      <c r="E110" s="103">
        <v>0.75</v>
      </c>
      <c r="F110" s="103">
        <v>53</v>
      </c>
      <c r="G110" s="87">
        <f>((2^(1/12)^86)*((H$11+9)/16)*(E110*F110))^2*PI()*7.85/(10^9)</f>
        <v>639.10201239705</v>
      </c>
      <c r="H110" s="81">
        <v>3</v>
      </c>
      <c r="I110" s="82"/>
      <c r="J110" s="83"/>
      <c r="K110" s="84" t="s">
        <v>12</v>
      </c>
      <c r="L110" s="17">
        <f t="shared" si="4"/>
        <v>78.82473949876608</v>
      </c>
      <c r="M110" s="18"/>
      <c r="N110" s="24"/>
      <c r="O110" s="24"/>
      <c r="P110" s="24"/>
      <c r="Q110" s="68"/>
    </row>
    <row r="111" spans="1:17" ht="18">
      <c r="A111" s="7">
        <v>88</v>
      </c>
      <c r="B111" s="97" t="s">
        <v>125</v>
      </c>
      <c r="C111" s="107">
        <v>0.75</v>
      </c>
      <c r="D111" s="107">
        <v>0.75</v>
      </c>
      <c r="E111" s="107">
        <v>0.75</v>
      </c>
      <c r="F111" s="106">
        <v>50</v>
      </c>
      <c r="G111" s="87">
        <f>((2^(1/12)^87)*((H$11+10)/16)*(E111*F111))^2*PI()*7.85/(10^9)</f>
        <v>641.2891709709401</v>
      </c>
      <c r="H111" s="81">
        <v>3</v>
      </c>
      <c r="I111" s="82"/>
      <c r="J111" s="83"/>
      <c r="K111" s="84" t="s">
        <v>12</v>
      </c>
      <c r="L111" s="17">
        <f t="shared" si="4"/>
        <v>79.09449644129667</v>
      </c>
      <c r="M111" s="18"/>
      <c r="N111" s="24"/>
      <c r="O111" s="24"/>
      <c r="P111" s="24"/>
      <c r="Q111" s="68"/>
    </row>
    <row r="112" spans="1:17" ht="18">
      <c r="A112" s="9">
        <v>89</v>
      </c>
      <c r="B112" s="9" t="s">
        <v>126</v>
      </c>
      <c r="C112" s="71"/>
      <c r="D112" s="71"/>
      <c r="E112" s="71"/>
      <c r="F112" s="71"/>
      <c r="G112" s="71">
        <f>((2^(1/12)^88)*((H$11+11)/16)*(E112*F112))^2*PI()*7.85/(10^9)</f>
        <v>0</v>
      </c>
      <c r="H112" s="71"/>
      <c r="I112" s="71">
        <f>G112*H112</f>
        <v>0</v>
      </c>
      <c r="J112" s="71"/>
      <c r="K112" s="71"/>
      <c r="L112" s="70" t="e">
        <f t="shared" si="4"/>
        <v>#N/A</v>
      </c>
      <c r="M112" s="18"/>
      <c r="N112" s="24"/>
      <c r="O112" s="24"/>
      <c r="P112" s="24"/>
      <c r="Q112" s="68"/>
    </row>
    <row r="113" spans="1:17" ht="18">
      <c r="A113" s="9">
        <v>90</v>
      </c>
      <c r="B113" s="9" t="s">
        <v>127</v>
      </c>
      <c r="C113" s="71"/>
      <c r="D113" s="71"/>
      <c r="E113" s="71"/>
      <c r="F113" s="71"/>
      <c r="G113" s="71">
        <f>((2^(1/12)^89)*((H$11+12)/16)*(E113*F113))^2*PI()*7.85/(10^9)</f>
        <v>0</v>
      </c>
      <c r="H113" s="71"/>
      <c r="I113" s="71">
        <f>G113*H113</f>
        <v>0</v>
      </c>
      <c r="J113" s="71"/>
      <c r="K113" s="71"/>
      <c r="L113" s="70" t="e">
        <f t="shared" si="4"/>
        <v>#N/A</v>
      </c>
      <c r="M113" s="18"/>
      <c r="N113" s="24"/>
      <c r="O113" s="24"/>
      <c r="P113" s="24"/>
      <c r="Q113" s="68"/>
    </row>
    <row r="114" spans="1:17" ht="18">
      <c r="A114" s="9">
        <v>91</v>
      </c>
      <c r="B114" s="9" t="s">
        <v>128</v>
      </c>
      <c r="C114" s="71"/>
      <c r="D114" s="71"/>
      <c r="E114" s="71"/>
      <c r="F114" s="71"/>
      <c r="G114" s="71">
        <f>((2^(1/12)^90)*((H$11+13)/16)*(E114*F114))^2*PI()*7.85/(10^9)</f>
        <v>0</v>
      </c>
      <c r="H114" s="71"/>
      <c r="I114" s="71">
        <f>G114*H114</f>
        <v>0</v>
      </c>
      <c r="J114" s="71"/>
      <c r="K114" s="71"/>
      <c r="L114" s="70" t="e">
        <f t="shared" si="4"/>
        <v>#N/A</v>
      </c>
      <c r="M114" s="18"/>
      <c r="N114" s="24"/>
      <c r="O114" s="24"/>
      <c r="P114" s="24"/>
      <c r="Q114" s="68"/>
    </row>
    <row r="115" spans="1:13" ht="18">
      <c r="A115" s="9">
        <v>92</v>
      </c>
      <c r="B115" s="9" t="s">
        <v>129</v>
      </c>
      <c r="C115" s="71"/>
      <c r="D115" s="71"/>
      <c r="E115" s="71"/>
      <c r="F115" s="71"/>
      <c r="G115" s="71">
        <f>((2^(1/12)^91)*((H$11+14)/16)*(E115*F115))^2*PI()*7.85/(10^9)</f>
        <v>0</v>
      </c>
      <c r="H115" s="71"/>
      <c r="I115" s="71">
        <f>G115*H115</f>
        <v>0</v>
      </c>
      <c r="J115" s="71"/>
      <c r="K115" s="71"/>
      <c r="L115" s="70" t="e">
        <f t="shared" si="4"/>
        <v>#N/A</v>
      </c>
      <c r="M115" s="18"/>
    </row>
    <row r="116" spans="1:13" ht="18" thickBot="1">
      <c r="A116" s="10">
        <v>93</v>
      </c>
      <c r="B116" s="9" t="s">
        <v>130</v>
      </c>
      <c r="C116" s="71"/>
      <c r="D116" s="71"/>
      <c r="E116" s="71"/>
      <c r="F116" s="71"/>
      <c r="G116" s="71">
        <f>((2^(1/12)^92)*((H$11+15)/16)*(E116*F116))^2*PI()*7.85/(10^9)</f>
        <v>0</v>
      </c>
      <c r="H116" s="71"/>
      <c r="I116" s="71">
        <f>G116*H116</f>
        <v>0</v>
      </c>
      <c r="J116" s="71"/>
      <c r="K116" s="71"/>
      <c r="L116" s="70" t="e">
        <f>100/(IF($K116="XM",VLOOKUP(C116,$Q$16:$R$33,2),IF($K116="M",VLOOKUP(C116,$T$16:$U$47,2),IF($K116=0,VLOOKUP(C116,$W$16:$X$47,2),IF($K116=1,VLOOKUP(C116,$Z$16:$AA$50,2),IF($K116=2,VLOOKUP(C116,$AC$16:$AD$53,2)))))))*G116</f>
        <v>#N/A</v>
      </c>
      <c r="M116" s="18"/>
    </row>
    <row r="117" spans="1:15" ht="63" customHeight="1" thickBot="1">
      <c r="A117" s="88" t="s">
        <v>1</v>
      </c>
      <c r="B117" s="89" t="s">
        <v>22</v>
      </c>
      <c r="C117" s="90" t="s">
        <v>23</v>
      </c>
      <c r="D117" s="91" t="s">
        <v>19</v>
      </c>
      <c r="E117" s="92" t="s">
        <v>24</v>
      </c>
      <c r="F117" s="92" t="s">
        <v>133</v>
      </c>
      <c r="G117" s="98" t="s">
        <v>25</v>
      </c>
      <c r="H117" s="92" t="s">
        <v>26</v>
      </c>
      <c r="I117" s="93" t="s">
        <v>20</v>
      </c>
      <c r="J117" s="92" t="s">
        <v>29</v>
      </c>
      <c r="K117" s="92" t="s">
        <v>27</v>
      </c>
      <c r="L117" s="91" t="s">
        <v>28</v>
      </c>
      <c r="M117" s="18"/>
      <c r="O117" s="124"/>
    </row>
    <row r="120" ht="15">
      <c r="AB120" s="69"/>
    </row>
  </sheetData>
  <sheetProtection password="E15F" sheet="1" objects="1" scenarios="1" selectLockedCells="1"/>
  <mergeCells count="1">
    <mergeCell ref="H1:J1"/>
  </mergeCells>
  <conditionalFormatting sqref="L15:L77">
    <cfRule type="cellIs" priority="24" dxfId="0" operator="lessThan" stopIfTrue="1">
      <formula>50</formula>
    </cfRule>
    <cfRule type="cellIs" priority="25" dxfId="0" operator="greaterThan" stopIfTrue="1">
      <formula>70</formula>
    </cfRule>
  </conditionalFormatting>
  <conditionalFormatting sqref="L78:L83">
    <cfRule type="cellIs" priority="14" dxfId="0" operator="lessThan" stopIfTrue="1">
      <formula>53</formula>
    </cfRule>
    <cfRule type="cellIs" priority="16" dxfId="0" operator="greaterThan" stopIfTrue="1">
      <formula>73</formula>
    </cfRule>
  </conditionalFormatting>
  <conditionalFormatting sqref="L84:L89">
    <cfRule type="cellIs" priority="12" dxfId="0" operator="lessThan" stopIfTrue="1">
      <formula>55</formula>
    </cfRule>
    <cfRule type="cellIs" priority="13" dxfId="0" operator="greaterThan" stopIfTrue="1">
      <formula>75</formula>
    </cfRule>
  </conditionalFormatting>
  <conditionalFormatting sqref="L90:L95">
    <cfRule type="cellIs" priority="10" dxfId="0" operator="lessThan" stopIfTrue="1">
      <formula>58</formula>
    </cfRule>
    <cfRule type="cellIs" priority="11" dxfId="0" operator="greaterThan" stopIfTrue="1">
      <formula>76</formula>
    </cfRule>
  </conditionalFormatting>
  <conditionalFormatting sqref="M108">
    <cfRule type="cellIs" priority="9" dxfId="0" operator="greaterThan" stopIfTrue="1">
      <formula>78</formula>
    </cfRule>
  </conditionalFormatting>
  <conditionalFormatting sqref="L96:L101">
    <cfRule type="cellIs" priority="7" dxfId="0" operator="greaterThan" stopIfTrue="1">
      <formula>78</formula>
    </cfRule>
    <cfRule type="cellIs" priority="8" dxfId="0" operator="lessThan" stopIfTrue="1">
      <formula>60</formula>
    </cfRule>
  </conditionalFormatting>
  <conditionalFormatting sqref="L102:L107">
    <cfRule type="cellIs" priority="5" dxfId="0" operator="lessThan" stopIfTrue="1">
      <formula>65</formula>
    </cfRule>
    <cfRule type="cellIs" priority="6" dxfId="0" operator="greaterThan" stopIfTrue="1">
      <formula>81</formula>
    </cfRule>
  </conditionalFormatting>
  <conditionalFormatting sqref="L108:L116">
    <cfRule type="cellIs" priority="3" dxfId="0" operator="lessThan" stopIfTrue="1">
      <formula>70</formula>
    </cfRule>
    <cfRule type="cellIs" priority="4" dxfId="0" operator="greaterThan" stopIfTrue="1">
      <formula>85</formula>
    </cfRule>
  </conditionalFormatting>
  <conditionalFormatting sqref="L112:L116">
    <cfRule type="cellIs" priority="1" dxfId="0" operator="lessThan" stopIfTrue="1">
      <formula>50</formula>
    </cfRule>
    <cfRule type="cellIs" priority="2" dxfId="0" operator="greaterThan" stopIfTrue="1">
      <formula>70</formula>
    </cfRule>
  </conditionalFormatting>
  <printOptions horizontalCentered="1" verticalCentered="1"/>
  <pageMargins left="0" right="0.3937007874015748" top="0.1968503937007874" bottom="0" header="0.5118110236220472" footer="0.11811023622047245"/>
  <pageSetup horizontalDpi="300" verticalDpi="300" orientation="portrait" paperSize="9" scale="31" r:id="rId2"/>
  <colBreaks count="1" manualBreakCount="1">
    <brk id="3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2:A2"/>
  <sheetViews>
    <sheetView zoomScalePageLayoutView="0" workbookViewId="0" topLeftCell="A4">
      <selection activeCell="C40" sqref="C40"/>
    </sheetView>
  </sheetViews>
  <sheetFormatPr defaultColWidth="11.421875" defaultRowHeight="12.75"/>
  <sheetData>
    <row r="2" ht="12.75">
      <c r="A2" t="s">
        <v>21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0">
      <selection activeCell="E57" sqref="E5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Claire</cp:lastModifiedBy>
  <cp:lastPrinted>2012-10-09T09:05:13Z</cp:lastPrinted>
  <dcterms:created xsi:type="dcterms:W3CDTF">2006-07-12T15:58:17Z</dcterms:created>
  <dcterms:modified xsi:type="dcterms:W3CDTF">2012-11-19T22:11:22Z</dcterms:modified>
  <cp:category/>
  <cp:version/>
  <cp:contentType/>
  <cp:contentStatus/>
</cp:coreProperties>
</file>